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ACEST2324\Collection Fund\CTAX\Budget Information\"/>
    </mc:Choice>
  </mc:AlternateContent>
  <xr:revisionPtr revIDLastSave="0" documentId="8_{E63862C4-2B24-47F0-A178-88CFBF4BD855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2022-23" sheetId="1" r:id="rId1"/>
    <sheet name="2023-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2" l="1"/>
  <c r="D12" i="2"/>
  <c r="D19" i="2"/>
  <c r="G56" i="2" l="1"/>
  <c r="G55" i="2"/>
  <c r="G58" i="2"/>
  <c r="I58" i="2" s="1"/>
  <c r="G57" i="2"/>
  <c r="I57" i="2" s="1"/>
  <c r="C60" i="2"/>
  <c r="F59" i="2"/>
  <c r="G59" i="2" s="1"/>
  <c r="I59" i="2" s="1"/>
  <c r="H12" i="2" l="1"/>
  <c r="F38" i="2"/>
  <c r="D11" i="2" l="1"/>
  <c r="F40" i="2"/>
  <c r="B40" i="2"/>
  <c r="G33" i="2"/>
  <c r="C33" i="2"/>
  <c r="H19" i="2"/>
  <c r="H18" i="2"/>
  <c r="D18" i="2"/>
  <c r="G16" i="2"/>
  <c r="G21" i="2" s="1"/>
  <c r="C16" i="2"/>
  <c r="C21" i="2" s="1"/>
  <c r="H14" i="2"/>
  <c r="D14" i="2"/>
  <c r="H13" i="2"/>
  <c r="D13" i="2"/>
  <c r="F16" i="2"/>
  <c r="F21" i="2" s="1"/>
  <c r="H10" i="2"/>
  <c r="D10" i="2"/>
  <c r="H9" i="2"/>
  <c r="D9" i="2"/>
  <c r="H8" i="2"/>
  <c r="G31" i="1"/>
  <c r="F31" i="1"/>
  <c r="D16" i="2" l="1"/>
  <c r="D21" i="2" s="1"/>
  <c r="B16" i="2"/>
  <c r="B21" i="2" s="1"/>
  <c r="H11" i="2"/>
  <c r="H16" i="2" s="1"/>
  <c r="H21" i="2" s="1"/>
  <c r="F75" i="2" s="1"/>
  <c r="B32" i="2" l="1"/>
  <c r="B35" i="2" s="1"/>
  <c r="B44" i="2" s="1"/>
  <c r="F67" i="2"/>
  <c r="F32" i="2"/>
  <c r="G32" i="2" s="1"/>
  <c r="B54" i="2" l="1"/>
  <c r="B60" i="2" s="1"/>
  <c r="B47" i="2"/>
  <c r="C32" i="2"/>
  <c r="C35" i="2"/>
  <c r="F35" i="2"/>
  <c r="F44" i="2" s="1"/>
  <c r="F54" i="2" l="1"/>
  <c r="F60" i="2" s="1"/>
  <c r="F47" i="2"/>
  <c r="D54" i="2"/>
  <c r="D55" i="2"/>
  <c r="D59" i="2"/>
  <c r="D56" i="2"/>
  <c r="D57" i="2"/>
  <c r="D58" i="2"/>
  <c r="G54" i="2"/>
  <c r="I54" i="2" s="1"/>
  <c r="G35" i="2"/>
  <c r="G60" i="2" l="1"/>
  <c r="I60" i="2" s="1"/>
  <c r="H56" i="2"/>
  <c r="H57" i="2"/>
  <c r="H58" i="2"/>
  <c r="H55" i="2"/>
  <c r="H59" i="2"/>
  <c r="H54" i="2"/>
  <c r="D67" i="1"/>
  <c r="F67" i="1"/>
  <c r="G67" i="1"/>
  <c r="F77" i="1"/>
  <c r="F39" i="1"/>
  <c r="B39" i="1"/>
  <c r="G32" i="1"/>
  <c r="C32" i="1"/>
  <c r="H18" i="1"/>
  <c r="D18" i="1"/>
  <c r="H17" i="1"/>
  <c r="D17" i="1"/>
  <c r="G15" i="1"/>
  <c r="G20" i="1" s="1"/>
  <c r="C15" i="1"/>
  <c r="C20" i="1" s="1"/>
  <c r="B15" i="1"/>
  <c r="B20" i="1" s="1"/>
  <c r="H13" i="1"/>
  <c r="D13" i="1"/>
  <c r="H12" i="1"/>
  <c r="D12" i="1"/>
  <c r="F11" i="1"/>
  <c r="F15" i="1" s="1"/>
  <c r="F20" i="1" s="1"/>
  <c r="D11" i="1"/>
  <c r="H10" i="1"/>
  <c r="D10" i="1"/>
  <c r="H9" i="1"/>
  <c r="D9" i="1"/>
  <c r="H8" i="1"/>
  <c r="D8" i="1"/>
  <c r="D15" i="1" l="1"/>
  <c r="D20" i="1" s="1"/>
  <c r="B31" i="1" s="1"/>
  <c r="H11" i="1"/>
  <c r="H15" i="1" s="1"/>
  <c r="H20" i="1" s="1"/>
  <c r="F56" i="1" s="1"/>
  <c r="F49" i="1" l="1"/>
  <c r="F54" i="1" s="1"/>
  <c r="B34" i="1"/>
  <c r="C31" i="1"/>
  <c r="B42" i="1" l="1"/>
  <c r="C34" i="1"/>
  <c r="F34" i="1"/>
  <c r="F42" i="1" l="1"/>
  <c r="G34" i="1"/>
</calcChain>
</file>

<file path=xl/sharedStrings.xml><?xml version="1.0" encoding="utf-8"?>
<sst xmlns="http://schemas.openxmlformats.org/spreadsheetml/2006/main" count="152" uniqueCount="85">
  <si>
    <t>Our spending on services is as follows:</t>
  </si>
  <si>
    <t>£'000s</t>
  </si>
  <si>
    <t>Economic Development Committee</t>
  </si>
  <si>
    <t>Homes &amp; Communities Committee</t>
  </si>
  <si>
    <t>Leisure &amp; Environment Committee</t>
  </si>
  <si>
    <t>Policy &amp; Finance Committee</t>
  </si>
  <si>
    <t>Trent Valley Internal Drainage Board</t>
  </si>
  <si>
    <t>Upper Witham Internal Drainage Board</t>
  </si>
  <si>
    <t>Subtotal</t>
  </si>
  <si>
    <t>Reversal of capital charges</t>
  </si>
  <si>
    <t>Cash management</t>
  </si>
  <si>
    <t>Total</t>
  </si>
  <si>
    <t>This spend is paid for by Council Tax and other income, as follows:</t>
  </si>
  <si>
    <t>2021/22</t>
  </si>
  <si>
    <t>Population (Office for National Statistics (ONS))</t>
  </si>
  <si>
    <t>District Council</t>
  </si>
  <si>
    <t>Parish Councils</t>
  </si>
  <si>
    <t>Less: Non-Domestic Rates (NDR) (Business Rates)</t>
  </si>
  <si>
    <t>Less: Precepts collected from Parish Councils</t>
  </si>
  <si>
    <t>Amount we need from Council Tax</t>
  </si>
  <si>
    <t>Other changes between the two financial years</t>
  </si>
  <si>
    <t>Estimate, at 31/03/2022</t>
  </si>
  <si>
    <t>Revenue Reserves</t>
  </si>
  <si>
    <t>Capital Reserves</t>
  </si>
  <si>
    <t>Ring-fenced Reserves</t>
  </si>
  <si>
    <t>Total Reserves</t>
  </si>
  <si>
    <t>General Fund (GF)</t>
  </si>
  <si>
    <t>Housing Revenue Account (HRA)</t>
  </si>
  <si>
    <t>2022/23 total spending</t>
  </si>
  <si>
    <t>2022/23 total income</t>
  </si>
  <si>
    <t>2022/23 spending less income</t>
  </si>
  <si>
    <t>2022/23</t>
  </si>
  <si>
    <t>2019 mid-year estimate</t>
  </si>
  <si>
    <t>2020 mid-year estimate</t>
  </si>
  <si>
    <t>Less: annual government grants</t>
  </si>
  <si>
    <t>Less: one-off government grants</t>
  </si>
  <si>
    <t>What we intend to spend in 2022/23</t>
  </si>
  <si>
    <t>Actual, at 31/03/2021</t>
  </si>
  <si>
    <t>We expect to have the following amounts of reserves at 31/03/2022 and 31/03/2023:</t>
  </si>
  <si>
    <t>Estimate, at 31/03/2023</t>
  </si>
  <si>
    <t>We had the following outstanding debt at 31/03/2021:</t>
  </si>
  <si>
    <t>Council Tax Information Leaflet: Newark and Sherwood District Council 2022/23 Financial Summary</t>
  </si>
  <si>
    <t>At March 2021
£'000s</t>
  </si>
  <si>
    <t>At March 2022
£'000s</t>
  </si>
  <si>
    <t>At March 2021
£ per person</t>
  </si>
  <si>
    <t>At March 2022
£ per person</t>
  </si>
  <si>
    <t>Less: Amount transferred (to)/from savings</t>
  </si>
  <si>
    <t>The table below shows roughly how the council's budget has changed between the estimate for 2022/23 in March 2021 and the estimate for 2022/23 in March 2022:</t>
  </si>
  <si>
    <t>What we thought we would spend in 2022/23</t>
  </si>
  <si>
    <t>Changes in cost of delivering services provided</t>
  </si>
  <si>
    <t>Increased support for delivery of leisure services</t>
  </si>
  <si>
    <t>New and increased delivery of services provided</t>
  </si>
  <si>
    <t>Capital debt outstanding</t>
  </si>
  <si>
    <t>Cleaner, Safer, Greener</t>
  </si>
  <si>
    <t>Economic Development &amp; Visitors</t>
  </si>
  <si>
    <t>Homes &amp; Health</t>
  </si>
  <si>
    <t>Organisational Development &amp; Governance</t>
  </si>
  <si>
    <t>Strategy, Performance &amp; Finance</t>
  </si>
  <si>
    <t>2023/24 total spending</t>
  </si>
  <si>
    <t>2023/24 total income</t>
  </si>
  <si>
    <t>2023/24 spending less income</t>
  </si>
  <si>
    <t>At March 2023
£'000s</t>
  </si>
  <si>
    <t>2023/24</t>
  </si>
  <si>
    <t>The table below shows roughly how the council's budget has changed between the estimate for 2022/23 in March 2022 and the estimate for 2023/24 in March 2023:</t>
  </si>
  <si>
    <t>2021 mid-year estimate</t>
  </si>
  <si>
    <t>Council Tax (Surplus)/Deficit Adjustment</t>
  </si>
  <si>
    <t>At March 2023
£ per person</t>
  </si>
  <si>
    <t>Amount Newark &amp; Sherwood DC need from Council Tax</t>
  </si>
  <si>
    <t>Amount Nottinghamshire CC need from Council Tax</t>
  </si>
  <si>
    <t>Amount Nottinghamshire CC Adult Social Care need from Council Tax</t>
  </si>
  <si>
    <t>Amount Nottinghamshire Police and Crime Commissioner need from Council Tax</t>
  </si>
  <si>
    <t xml:space="preserve">Amount Nottinghamshire Combined Fire Authority Need from Council Tax </t>
  </si>
  <si>
    <t xml:space="preserve">Amount of average Parish requirement from Council Tax </t>
  </si>
  <si>
    <t>TOTAL COUNCIL TAX REQUIREMENT</t>
  </si>
  <si>
    <t>Representative number of band D properties (Council Tax Base)</t>
  </si>
  <si>
    <t>Band D Council Tax Charge</t>
  </si>
  <si>
    <t>Percentage of Average Charge</t>
  </si>
  <si>
    <t>Budget Requirement £000's</t>
  </si>
  <si>
    <t xml:space="preserve">Council Tax Increase </t>
  </si>
  <si>
    <t>Council Tax Charges for all areas</t>
  </si>
  <si>
    <t>Newark &amp; Sherwood DC Band D Council Tax charge</t>
  </si>
  <si>
    <t>Council Tax Budget Information: Newark and Sherwood District Council 2023/24 Financial Summary</t>
  </si>
  <si>
    <t>Increase to levels of Community Grants</t>
  </si>
  <si>
    <t>What we intend to spend in 2023/24</t>
  </si>
  <si>
    <t>Increase in levies from Drainage Board Authorities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</si>
</sst>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);\(#,##0\)"/>
    <numFmt numFmtId="165" formatCode="#,##0;[Red]\(#,##0\)"/>
    <numFmt numFmtId="166" formatCode="#,##0.00;[Red]\(#,##0.00\)"/>
    <numFmt numFmtId="167" formatCode="#,##0.00_);\(#,##0.00\)"/>
    <numFmt numFmtId="168" formatCode="0.0%"/>
  </numFmts>
  <fonts count="6" x14ac:knownFonts="1">
    <font>
      <sz val="12"/>
      <name val="Helv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Helv"/>
    </font>
    <font>
      <u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double">
        <color theme="0" tint="-0.14993743705557422"/>
      </top>
      <bottom style="double">
        <color theme="0" tint="-0.14993743705557422"/>
      </bottom>
      <diagonal/>
    </border>
    <border>
      <left/>
      <right/>
      <top style="thin">
        <color theme="0" tint="-0.14993743705557422"/>
      </top>
      <bottom/>
      <diagonal/>
    </border>
    <border>
      <left/>
      <right/>
      <top style="double">
        <color theme="0" tint="-0.14996795556505021"/>
      </top>
      <bottom style="double">
        <color theme="0" tint="-0.1499679555650502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double">
        <color theme="0" tint="-4.9989318521683403E-2"/>
      </top>
      <bottom style="double">
        <color theme="0" tint="-4.9989318521683403E-2"/>
      </bottom>
      <diagonal/>
    </border>
    <border>
      <left/>
      <right/>
      <top style="double">
        <color theme="0" tint="-4.9989318521683403E-2"/>
      </top>
      <bottom style="thin">
        <color indexed="64"/>
      </bottom>
      <diagonal/>
    </border>
  </borders>
  <cellStyleXfs count="2">
    <xf numFmtId="164" fontId="0" fillId="0" borderId="0" applyFill="0"/>
    <xf numFmtId="9" fontId="4" fillId="0" borderId="0" applyFont="0" applyFill="0" applyBorder="0" applyAlignment="0" applyProtection="0"/>
  </cellStyleXfs>
  <cellXfs count="60">
    <xf numFmtId="164" fontId="0" fillId="0" borderId="0" xfId="0"/>
    <xf numFmtId="165" fontId="2" fillId="0" borderId="1" xfId="0" applyNumberFormat="1" applyFont="1" applyFill="1" applyBorder="1" applyAlignment="1">
      <alignment vertical="center"/>
    </xf>
    <xf numFmtId="164" fontId="1" fillId="0" borderId="0" xfId="0" applyFont="1" applyFill="1" applyAlignment="1">
      <alignment vertical="center"/>
    </xf>
    <xf numFmtId="165" fontId="1" fillId="0" borderId="1" xfId="0" applyNumberFormat="1" applyFont="1" applyFill="1" applyBorder="1" applyAlignment="1">
      <alignment vertical="center"/>
    </xf>
    <xf numFmtId="166" fontId="1" fillId="0" borderId="1" xfId="0" applyNumberFormat="1" applyFont="1" applyFill="1" applyBorder="1" applyAlignment="1">
      <alignment vertical="center"/>
    </xf>
    <xf numFmtId="164" fontId="1" fillId="0" borderId="1" xfId="0" applyFont="1" applyFill="1" applyBorder="1" applyAlignment="1">
      <alignment vertical="center"/>
    </xf>
    <xf numFmtId="164" fontId="1" fillId="0" borderId="2" xfId="0" applyFont="1" applyFill="1" applyBorder="1" applyAlignment="1">
      <alignment vertical="center"/>
    </xf>
    <xf numFmtId="164" fontId="1" fillId="0" borderId="3" xfId="0" applyFont="1" applyFill="1" applyBorder="1" applyAlignment="1">
      <alignment vertical="center"/>
    </xf>
    <xf numFmtId="164" fontId="1" fillId="0" borderId="4" xfId="0" applyFont="1" applyFill="1" applyBorder="1" applyAlignment="1">
      <alignment vertical="center"/>
    </xf>
    <xf numFmtId="164" fontId="1" fillId="0" borderId="5" xfId="0" applyFont="1" applyFill="1" applyBorder="1" applyAlignment="1">
      <alignment vertical="center"/>
    </xf>
    <xf numFmtId="164" fontId="1" fillId="0" borderId="6" xfId="0" applyFont="1" applyFill="1" applyBorder="1" applyAlignment="1">
      <alignment vertical="center"/>
    </xf>
    <xf numFmtId="164" fontId="1" fillId="0" borderId="0" xfId="0" applyFont="1" applyFill="1" applyBorder="1" applyAlignment="1">
      <alignment vertical="center"/>
    </xf>
    <xf numFmtId="164" fontId="1" fillId="0" borderId="7" xfId="0" applyFont="1" applyFill="1" applyBorder="1" applyAlignment="1">
      <alignment vertical="center"/>
    </xf>
    <xf numFmtId="164" fontId="1" fillId="0" borderId="8" xfId="0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164" fontId="2" fillId="2" borderId="1" xfId="0" applyFont="1" applyFill="1" applyBorder="1" applyAlignment="1">
      <alignment vertical="center" wrapText="1"/>
    </xf>
    <xf numFmtId="164" fontId="1" fillId="2" borderId="1" xfId="0" applyFont="1" applyFill="1" applyBorder="1" applyAlignment="1">
      <alignment vertical="center"/>
    </xf>
    <xf numFmtId="165" fontId="2" fillId="0" borderId="11" xfId="0" applyNumberFormat="1" applyFont="1" applyFill="1" applyBorder="1" applyAlignment="1">
      <alignment vertical="center"/>
    </xf>
    <xf numFmtId="164" fontId="2" fillId="0" borderId="11" xfId="0" applyFont="1" applyFill="1" applyBorder="1" applyAlignment="1">
      <alignment vertical="center"/>
    </xf>
    <xf numFmtId="166" fontId="2" fillId="0" borderId="11" xfId="0" applyNumberFormat="1" applyFont="1" applyFill="1" applyBorder="1" applyAlignment="1">
      <alignment vertical="center"/>
    </xf>
    <xf numFmtId="164" fontId="1" fillId="0" borderId="12" xfId="0" applyFont="1" applyFill="1" applyBorder="1" applyAlignment="1">
      <alignment vertical="center"/>
    </xf>
    <xf numFmtId="164" fontId="3" fillId="0" borderId="0" xfId="0" applyFont="1" applyFill="1" applyAlignment="1">
      <alignment vertical="center"/>
    </xf>
    <xf numFmtId="164" fontId="1" fillId="2" borderId="1" xfId="0" applyFont="1" applyFill="1" applyBorder="1" applyAlignment="1">
      <alignment vertical="center" wrapText="1"/>
    </xf>
    <xf numFmtId="164" fontId="1" fillId="0" borderId="0" xfId="0" applyFont="1" applyFill="1" applyAlignment="1">
      <alignment vertical="center" wrapText="1"/>
    </xf>
    <xf numFmtId="165" fontId="1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165" fontId="2" fillId="0" borderId="0" xfId="0" applyNumberFormat="1" applyFont="1" applyFill="1" applyBorder="1" applyAlignment="1">
      <alignment vertical="center"/>
    </xf>
    <xf numFmtId="164" fontId="2" fillId="0" borderId="11" xfId="0" applyFont="1" applyFill="1" applyBorder="1" applyAlignment="1">
      <alignment vertical="center" wrapText="1"/>
    </xf>
    <xf numFmtId="164" fontId="2" fillId="0" borderId="0" xfId="0" applyFont="1" applyFill="1" applyBorder="1" applyAlignment="1">
      <alignment vertical="center" wrapText="1"/>
    </xf>
    <xf numFmtId="165" fontId="2" fillId="0" borderId="6" xfId="0" applyNumberFormat="1" applyFont="1" applyFill="1" applyBorder="1" applyAlignment="1">
      <alignment vertical="center"/>
    </xf>
    <xf numFmtId="164" fontId="2" fillId="0" borderId="6" xfId="0" applyFont="1" applyFill="1" applyBorder="1" applyAlignment="1">
      <alignment vertical="center" wrapText="1"/>
    </xf>
    <xf numFmtId="164" fontId="1" fillId="0" borderId="0" xfId="0" applyFont="1" applyFill="1" applyBorder="1" applyAlignment="1">
      <alignment vertical="center" wrapText="1"/>
    </xf>
    <xf numFmtId="164" fontId="1" fillId="0" borderId="0" xfId="0" applyFont="1" applyFill="1" applyBorder="1" applyAlignment="1">
      <alignment horizontal="center" vertical="center"/>
    </xf>
    <xf numFmtId="10" fontId="2" fillId="0" borderId="0" xfId="1" applyNumberFormat="1" applyFont="1" applyFill="1" applyAlignment="1">
      <alignment vertical="center"/>
    </xf>
    <xf numFmtId="165" fontId="3" fillId="0" borderId="0" xfId="0" applyNumberFormat="1" applyFont="1" applyFill="1" applyBorder="1" applyAlignment="1">
      <alignment vertical="center"/>
    </xf>
    <xf numFmtId="164" fontId="5" fillId="0" borderId="0" xfId="0" applyFont="1" applyFill="1" applyBorder="1" applyAlignment="1">
      <alignment vertical="center"/>
    </xf>
    <xf numFmtId="164" fontId="2" fillId="0" borderId="13" xfId="0" applyFont="1" applyFill="1" applyBorder="1" applyAlignment="1">
      <alignment vertical="center" wrapText="1"/>
    </xf>
    <xf numFmtId="166" fontId="2" fillId="0" borderId="13" xfId="0" applyNumberFormat="1" applyFont="1" applyFill="1" applyBorder="1" applyAlignment="1">
      <alignment vertical="center"/>
    </xf>
    <xf numFmtId="165" fontId="1" fillId="0" borderId="0" xfId="0" applyNumberFormat="1" applyFont="1" applyFill="1" applyBorder="1" applyAlignment="1">
      <alignment horizontal="right" vertical="center"/>
    </xf>
    <xf numFmtId="167" fontId="1" fillId="0" borderId="0" xfId="0" applyNumberFormat="1" applyFont="1" applyFill="1" applyBorder="1" applyAlignment="1">
      <alignment horizontal="right" vertical="center"/>
    </xf>
    <xf numFmtId="167" fontId="2" fillId="0" borderId="0" xfId="0" applyNumberFormat="1" applyFont="1" applyFill="1" applyBorder="1" applyAlignment="1">
      <alignment horizontal="right" vertical="center"/>
    </xf>
    <xf numFmtId="167" fontId="1" fillId="0" borderId="0" xfId="0" applyNumberFormat="1" applyFont="1" applyFill="1" applyAlignment="1">
      <alignment vertical="center"/>
    </xf>
    <xf numFmtId="168" fontId="1" fillId="0" borderId="0" xfId="1" applyNumberFormat="1" applyFont="1" applyFill="1" applyAlignment="1">
      <alignment horizontal="center" vertical="center"/>
    </xf>
    <xf numFmtId="164" fontId="2" fillId="3" borderId="1" xfId="0" applyFont="1" applyFill="1" applyBorder="1" applyAlignment="1">
      <alignment vertical="center" wrapText="1"/>
    </xf>
    <xf numFmtId="164" fontId="1" fillId="3" borderId="14" xfId="0" applyFont="1" applyFill="1" applyBorder="1" applyAlignment="1">
      <alignment vertical="center" wrapText="1"/>
    </xf>
    <xf numFmtId="164" fontId="2" fillId="3" borderId="14" xfId="0" applyFont="1" applyFill="1" applyBorder="1" applyAlignment="1">
      <alignment vertical="center" wrapText="1"/>
    </xf>
    <xf numFmtId="164" fontId="1" fillId="3" borderId="14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vertical="center" wrapText="1"/>
    </xf>
    <xf numFmtId="165" fontId="2" fillId="3" borderId="14" xfId="0" applyNumberFormat="1" applyFont="1" applyFill="1" applyBorder="1" applyAlignment="1">
      <alignment vertical="center" wrapText="1"/>
    </xf>
    <xf numFmtId="165" fontId="2" fillId="3" borderId="15" xfId="0" applyNumberFormat="1" applyFont="1" applyFill="1" applyBorder="1" applyAlignment="1">
      <alignment horizontal="right" vertical="center"/>
    </xf>
    <xf numFmtId="164" fontId="2" fillId="3" borderId="15" xfId="0" applyFont="1" applyFill="1" applyBorder="1" applyAlignment="1">
      <alignment vertical="center"/>
    </xf>
    <xf numFmtId="167" fontId="2" fillId="3" borderId="15" xfId="0" applyNumberFormat="1" applyFont="1" applyFill="1" applyBorder="1" applyAlignment="1">
      <alignment horizontal="right" vertical="center"/>
    </xf>
    <xf numFmtId="165" fontId="1" fillId="3" borderId="15" xfId="0" applyNumberFormat="1" applyFont="1" applyFill="1" applyBorder="1" applyAlignment="1">
      <alignment horizontal="right" vertical="center"/>
    </xf>
    <xf numFmtId="166" fontId="1" fillId="3" borderId="15" xfId="0" applyNumberFormat="1" applyFont="1" applyFill="1" applyBorder="1" applyAlignment="1">
      <alignment horizontal="right" vertical="center"/>
    </xf>
    <xf numFmtId="10" fontId="2" fillId="3" borderId="15" xfId="1" applyNumberFormat="1" applyFont="1" applyFill="1" applyBorder="1" applyAlignment="1">
      <alignment vertical="center"/>
    </xf>
    <xf numFmtId="164" fontId="1" fillId="0" borderId="16" xfId="0" applyFont="1" applyFill="1" applyBorder="1" applyAlignment="1">
      <alignment vertical="center"/>
    </xf>
    <xf numFmtId="167" fontId="1" fillId="0" borderId="0" xfId="0" applyNumberFormat="1" applyFont="1" applyFill="1" applyAlignment="1">
      <alignment vertical="center" wrapText="1"/>
    </xf>
    <xf numFmtId="10" fontId="1" fillId="0" borderId="0" xfId="1" applyNumberFormat="1" applyFont="1" applyFill="1" applyAlignment="1">
      <alignment vertical="center"/>
    </xf>
  </cellXfs>
  <cellStyles count="2"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8"/>
  <sheetViews>
    <sheetView showGridLines="0" topLeftCell="A34" zoomScaleNormal="100" workbookViewId="0">
      <selection activeCell="F42" sqref="F42"/>
    </sheetView>
  </sheetViews>
  <sheetFormatPr defaultColWidth="8.88671875" defaultRowHeight="15.75" x14ac:dyDescent="0.25"/>
  <cols>
    <col min="1" max="1" width="0.5546875" style="2" customWidth="1"/>
    <col min="2" max="4" width="11.6640625" style="2" customWidth="1"/>
    <col min="5" max="5" width="37.77734375" style="2" customWidth="1"/>
    <col min="6" max="8" width="11.6640625" style="2" customWidth="1"/>
    <col min="9" max="16384" width="8.88671875" style="2"/>
  </cols>
  <sheetData>
    <row r="1" spans="1:8" x14ac:dyDescent="0.25">
      <c r="A1" s="22" t="s">
        <v>41</v>
      </c>
    </row>
    <row r="3" spans="1:8" x14ac:dyDescent="0.25">
      <c r="A3" s="2" t="s">
        <v>0</v>
      </c>
    </row>
    <row r="5" spans="1:8" ht="47.25" x14ac:dyDescent="0.25">
      <c r="B5" s="16" t="s">
        <v>28</v>
      </c>
      <c r="C5" s="16" t="s">
        <v>29</v>
      </c>
      <c r="D5" s="16" t="s">
        <v>30</v>
      </c>
      <c r="E5" s="17"/>
      <c r="F5" s="16" t="s">
        <v>28</v>
      </c>
      <c r="G5" s="16" t="s">
        <v>29</v>
      </c>
      <c r="H5" s="16" t="s">
        <v>30</v>
      </c>
    </row>
    <row r="6" spans="1:8" ht="31.5" x14ac:dyDescent="0.25">
      <c r="B6" s="23" t="s">
        <v>42</v>
      </c>
      <c r="C6" s="23" t="s">
        <v>42</v>
      </c>
      <c r="D6" s="23" t="s">
        <v>42</v>
      </c>
      <c r="E6" s="23"/>
      <c r="F6" s="23" t="s">
        <v>43</v>
      </c>
      <c r="G6" s="23" t="s">
        <v>43</v>
      </c>
      <c r="H6" s="23" t="s">
        <v>43</v>
      </c>
    </row>
    <row r="8" spans="1:8" x14ac:dyDescent="0.25">
      <c r="B8" s="3">
        <v>6547</v>
      </c>
      <c r="C8" s="3">
        <v>-4546</v>
      </c>
      <c r="D8" s="1">
        <f>SUM(B8:C8)</f>
        <v>2001</v>
      </c>
      <c r="E8" s="5" t="s">
        <v>2</v>
      </c>
      <c r="F8" s="3">
        <v>7086</v>
      </c>
      <c r="G8" s="3">
        <v>-4812</v>
      </c>
      <c r="H8" s="1">
        <f>SUM(F8:G8)</f>
        <v>2274</v>
      </c>
    </row>
    <row r="9" spans="1:8" x14ac:dyDescent="0.25">
      <c r="B9" s="3">
        <v>3804</v>
      </c>
      <c r="C9" s="3">
        <v>-1446</v>
      </c>
      <c r="D9" s="1">
        <f t="shared" ref="D9:D13" si="0">SUM(B9:C9)</f>
        <v>2358</v>
      </c>
      <c r="E9" s="5" t="s">
        <v>3</v>
      </c>
      <c r="F9" s="3">
        <v>4110</v>
      </c>
      <c r="G9" s="3">
        <v>-1877</v>
      </c>
      <c r="H9" s="1">
        <f t="shared" ref="H9:H13" si="1">SUM(F9:G9)</f>
        <v>2233</v>
      </c>
    </row>
    <row r="10" spans="1:8" x14ac:dyDescent="0.25">
      <c r="B10" s="3">
        <v>7552</v>
      </c>
      <c r="C10" s="3">
        <v>-2178</v>
      </c>
      <c r="D10" s="1">
        <f t="shared" si="0"/>
        <v>5374</v>
      </c>
      <c r="E10" s="5" t="s">
        <v>4</v>
      </c>
      <c r="F10" s="3">
        <v>8532</v>
      </c>
      <c r="G10" s="3">
        <v>-2163</v>
      </c>
      <c r="H10" s="1">
        <f t="shared" si="1"/>
        <v>6369</v>
      </c>
    </row>
    <row r="11" spans="1:8" x14ac:dyDescent="0.25">
      <c r="B11" s="3">
        <v>29067</v>
      </c>
      <c r="C11" s="3">
        <v>-22319</v>
      </c>
      <c r="D11" s="1">
        <f t="shared" si="0"/>
        <v>6748</v>
      </c>
      <c r="E11" s="5" t="s">
        <v>5</v>
      </c>
      <c r="F11" s="3">
        <f>27452 + 795</f>
        <v>28247</v>
      </c>
      <c r="G11" s="3">
        <v>-21269</v>
      </c>
      <c r="H11" s="1">
        <f t="shared" si="1"/>
        <v>6978</v>
      </c>
    </row>
    <row r="12" spans="1:8" x14ac:dyDescent="0.25">
      <c r="B12" s="3">
        <v>660</v>
      </c>
      <c r="C12" s="3"/>
      <c r="D12" s="1">
        <f t="shared" si="0"/>
        <v>660</v>
      </c>
      <c r="E12" s="5" t="s">
        <v>6</v>
      </c>
      <c r="F12" s="3">
        <v>666</v>
      </c>
      <c r="G12" s="3"/>
      <c r="H12" s="1">
        <f t="shared" si="1"/>
        <v>666</v>
      </c>
    </row>
    <row r="13" spans="1:8" x14ac:dyDescent="0.25">
      <c r="B13" s="3">
        <v>12</v>
      </c>
      <c r="C13" s="3"/>
      <c r="D13" s="1">
        <f t="shared" si="0"/>
        <v>12</v>
      </c>
      <c r="E13" s="5" t="s">
        <v>7</v>
      </c>
      <c r="F13" s="3">
        <v>12</v>
      </c>
      <c r="G13" s="3"/>
      <c r="H13" s="1">
        <f t="shared" si="1"/>
        <v>12</v>
      </c>
    </row>
    <row r="14" spans="1:8" ht="16.5" thickBot="1" x14ac:dyDescent="0.3"/>
    <row r="15" spans="1:8" ht="17.25" thickTop="1" thickBot="1" x14ac:dyDescent="0.3">
      <c r="B15" s="18">
        <f>SUM(B8:B13)</f>
        <v>47642</v>
      </c>
      <c r="C15" s="18">
        <f>SUM(C8:C13)</f>
        <v>-30489</v>
      </c>
      <c r="D15" s="18">
        <f>SUM(D8:D13)</f>
        <v>17153</v>
      </c>
      <c r="E15" s="19" t="s">
        <v>8</v>
      </c>
      <c r="F15" s="18">
        <f>SUM(F8:F13)</f>
        <v>48653</v>
      </c>
      <c r="G15" s="18">
        <f>SUM(G8:G13)</f>
        <v>-30121</v>
      </c>
      <c r="H15" s="18">
        <f>SUM(H8:H13)</f>
        <v>18532</v>
      </c>
    </row>
    <row r="16" spans="1:8" ht="16.5" thickTop="1" x14ac:dyDescent="0.25"/>
    <row r="17" spans="1:8" x14ac:dyDescent="0.25">
      <c r="B17" s="3">
        <v>-3050</v>
      </c>
      <c r="C17" s="3">
        <v>790</v>
      </c>
      <c r="D17" s="1">
        <f t="shared" ref="D17:D18" si="2">SUM(B17:C17)</f>
        <v>-2260</v>
      </c>
      <c r="E17" s="5" t="s">
        <v>9</v>
      </c>
      <c r="F17" s="3">
        <v>-3460</v>
      </c>
      <c r="G17" s="3">
        <v>790</v>
      </c>
      <c r="H17" s="1">
        <f t="shared" ref="H17:H18" si="3">SUM(F17:G17)</f>
        <v>-2670</v>
      </c>
    </row>
    <row r="18" spans="1:8" x14ac:dyDescent="0.25">
      <c r="B18" s="3">
        <v>1127</v>
      </c>
      <c r="C18" s="3">
        <v>-1081</v>
      </c>
      <c r="D18" s="1">
        <f t="shared" si="2"/>
        <v>46</v>
      </c>
      <c r="E18" s="5" t="s">
        <v>10</v>
      </c>
      <c r="F18" s="3">
        <v>822</v>
      </c>
      <c r="G18" s="3">
        <v>-1123</v>
      </c>
      <c r="H18" s="1">
        <f t="shared" si="3"/>
        <v>-301</v>
      </c>
    </row>
    <row r="19" spans="1:8" ht="16.5" thickBot="1" x14ac:dyDescent="0.3"/>
    <row r="20" spans="1:8" ht="17.25" thickTop="1" thickBot="1" x14ac:dyDescent="0.3">
      <c r="B20" s="18">
        <f t="shared" ref="B20:G20" si="4">SUM(B15, B17:B18)</f>
        <v>45719</v>
      </c>
      <c r="C20" s="18">
        <f t="shared" si="4"/>
        <v>-30780</v>
      </c>
      <c r="D20" s="18">
        <f>SUM(D15, D17:D18)</f>
        <v>14939</v>
      </c>
      <c r="E20" s="19" t="s">
        <v>11</v>
      </c>
      <c r="F20" s="18">
        <f t="shared" si="4"/>
        <v>46015</v>
      </c>
      <c r="G20" s="18">
        <f t="shared" si="4"/>
        <v>-30454</v>
      </c>
      <c r="H20" s="18">
        <f>SUM(H15, H17:H18)</f>
        <v>15561</v>
      </c>
    </row>
    <row r="21" spans="1:8" ht="16.5" thickTop="1" x14ac:dyDescent="0.25">
      <c r="B21" s="6"/>
      <c r="C21" s="6"/>
      <c r="D21" s="6"/>
      <c r="E21" s="6"/>
      <c r="F21" s="6"/>
      <c r="G21" s="6"/>
      <c r="H21" s="6"/>
    </row>
    <row r="23" spans="1:8" x14ac:dyDescent="0.25">
      <c r="A23" s="2" t="s">
        <v>12</v>
      </c>
    </row>
    <row r="25" spans="1:8" x14ac:dyDescent="0.25">
      <c r="B25" s="16" t="s">
        <v>13</v>
      </c>
      <c r="F25" s="16" t="s">
        <v>31</v>
      </c>
    </row>
    <row r="26" spans="1:8" x14ac:dyDescent="0.25">
      <c r="B26" s="3">
        <v>122400</v>
      </c>
      <c r="C26" s="5" t="s">
        <v>32</v>
      </c>
      <c r="E26" s="5" t="s">
        <v>14</v>
      </c>
      <c r="F26" s="3">
        <v>123100</v>
      </c>
      <c r="G26" s="5" t="s">
        <v>33</v>
      </c>
    </row>
    <row r="28" spans="1:8" x14ac:dyDescent="0.25">
      <c r="B28" s="16" t="s">
        <v>31</v>
      </c>
      <c r="C28" s="16" t="s">
        <v>31</v>
      </c>
      <c r="F28" s="16" t="s">
        <v>31</v>
      </c>
      <c r="G28" s="16" t="s">
        <v>31</v>
      </c>
    </row>
    <row r="29" spans="1:8" ht="31.5" x14ac:dyDescent="0.25">
      <c r="B29" s="23" t="s">
        <v>42</v>
      </c>
      <c r="C29" s="23" t="s">
        <v>44</v>
      </c>
      <c r="D29" s="24"/>
      <c r="E29" s="24"/>
      <c r="F29" s="23" t="s">
        <v>43</v>
      </c>
      <c r="G29" s="23" t="s">
        <v>45</v>
      </c>
    </row>
    <row r="31" spans="1:8" x14ac:dyDescent="0.25">
      <c r="B31" s="3">
        <f>D20</f>
        <v>14939</v>
      </c>
      <c r="C31" s="4">
        <f>(B31*1000)/B$26</f>
        <v>122.05065359477125</v>
      </c>
      <c r="E31" s="5" t="s">
        <v>15</v>
      </c>
      <c r="F31" s="3">
        <f>H20</f>
        <v>15561</v>
      </c>
      <c r="G31" s="4">
        <f>(F31*1000)/F$26</f>
        <v>126.40942323314378</v>
      </c>
    </row>
    <row r="32" spans="1:8" x14ac:dyDescent="0.25">
      <c r="B32" s="3">
        <v>3362</v>
      </c>
      <c r="C32" s="4">
        <f>(B32*1000)/B$26</f>
        <v>27.467320261437909</v>
      </c>
      <c r="E32" s="5" t="s">
        <v>16</v>
      </c>
      <c r="F32" s="3">
        <v>3425</v>
      </c>
      <c r="G32" s="4">
        <f>(F32*1000)/F$26</f>
        <v>27.822908204711617</v>
      </c>
    </row>
    <row r="33" spans="2:8" ht="16.5" thickBot="1" x14ac:dyDescent="0.3"/>
    <row r="34" spans="2:8" ht="17.25" thickTop="1" thickBot="1" x14ac:dyDescent="0.3">
      <c r="B34" s="18">
        <f>SUM(B31:B32)</f>
        <v>18301</v>
      </c>
      <c r="C34" s="20">
        <f>(B34*1000)/B$26</f>
        <v>149.51797385620915</v>
      </c>
      <c r="E34" s="19" t="s">
        <v>11</v>
      </c>
      <c r="F34" s="18">
        <f>SUM(F31:F32)</f>
        <v>18986</v>
      </c>
      <c r="G34" s="20">
        <f>(F34*1000)/F$26</f>
        <v>154.23233143785541</v>
      </c>
    </row>
    <row r="35" spans="2:8" ht="16.5" thickTop="1" x14ac:dyDescent="0.25"/>
    <row r="36" spans="2:8" x14ac:dyDescent="0.25">
      <c r="B36" s="3">
        <v>0</v>
      </c>
      <c r="E36" s="5" t="s">
        <v>34</v>
      </c>
      <c r="F36" s="3">
        <v>147</v>
      </c>
    </row>
    <row r="37" spans="2:8" x14ac:dyDescent="0.25">
      <c r="B37" s="3">
        <v>0</v>
      </c>
      <c r="E37" s="5" t="s">
        <v>35</v>
      </c>
      <c r="F37" s="3">
        <v>421</v>
      </c>
    </row>
    <row r="38" spans="2:8" x14ac:dyDescent="0.25">
      <c r="B38" s="3">
        <v>5742</v>
      </c>
      <c r="E38" s="5" t="s">
        <v>17</v>
      </c>
      <c r="F38" s="3">
        <v>6403</v>
      </c>
    </row>
    <row r="39" spans="2:8" x14ac:dyDescent="0.25">
      <c r="B39" s="3">
        <f>B32</f>
        <v>3362</v>
      </c>
      <c r="E39" s="5" t="s">
        <v>18</v>
      </c>
      <c r="F39" s="3">
        <f>F32</f>
        <v>3425</v>
      </c>
    </row>
    <row r="40" spans="2:8" x14ac:dyDescent="0.25">
      <c r="B40" s="3">
        <v>1681</v>
      </c>
      <c r="E40" s="5" t="s">
        <v>46</v>
      </c>
      <c r="F40" s="3">
        <v>658</v>
      </c>
    </row>
    <row r="41" spans="2:8" ht="16.5" thickBot="1" x14ac:dyDescent="0.3"/>
    <row r="42" spans="2:8" ht="17.25" thickTop="1" thickBot="1" x14ac:dyDescent="0.3">
      <c r="B42" s="18">
        <f>B34-SUM(B36:B40)</f>
        <v>7516</v>
      </c>
      <c r="C42" s="7"/>
      <c r="D42" s="8"/>
      <c r="E42" s="19" t="s">
        <v>19</v>
      </c>
      <c r="F42" s="18">
        <f>F34-SUM(F36:F40)</f>
        <v>7932</v>
      </c>
      <c r="G42" s="7"/>
      <c r="H42" s="8"/>
    </row>
    <row r="43" spans="2:8" ht="16.5" thickTop="1" x14ac:dyDescent="0.25">
      <c r="B43" s="6"/>
      <c r="C43" s="9"/>
      <c r="D43" s="9"/>
      <c r="E43" s="6"/>
      <c r="F43" s="6"/>
      <c r="G43" s="9"/>
      <c r="H43" s="9"/>
    </row>
    <row r="44" spans="2:8" x14ac:dyDescent="0.25">
      <c r="B44" s="10"/>
      <c r="C44" s="10"/>
      <c r="D44" s="10"/>
      <c r="E44" s="10"/>
      <c r="F44" s="10"/>
      <c r="G44" s="10"/>
      <c r="H44" s="10"/>
    </row>
    <row r="45" spans="2:8" x14ac:dyDescent="0.25">
      <c r="B45" s="11" t="s">
        <v>47</v>
      </c>
      <c r="C45" s="11"/>
      <c r="D45" s="11"/>
      <c r="E45" s="11"/>
      <c r="F45" s="11"/>
      <c r="G45" s="11"/>
      <c r="H45" s="11"/>
    </row>
    <row r="46" spans="2:8" x14ac:dyDescent="0.25">
      <c r="B46" s="11"/>
      <c r="C46" s="11"/>
      <c r="D46" s="11"/>
      <c r="E46" s="11"/>
      <c r="F46" s="11"/>
      <c r="G46" s="11"/>
      <c r="H46" s="11"/>
    </row>
    <row r="47" spans="2:8" x14ac:dyDescent="0.25">
      <c r="B47" s="11"/>
      <c r="C47" s="11"/>
      <c r="D47" s="11"/>
      <c r="E47" s="11"/>
      <c r="F47" s="17" t="s">
        <v>1</v>
      </c>
      <c r="G47" s="11"/>
      <c r="H47" s="11"/>
    </row>
    <row r="48" spans="2:8" ht="16.5" thickBot="1" x14ac:dyDescent="0.3">
      <c r="B48" s="11"/>
      <c r="C48" s="11"/>
      <c r="D48" s="11"/>
      <c r="E48" s="11"/>
      <c r="G48" s="11"/>
      <c r="H48" s="11"/>
    </row>
    <row r="49" spans="2:8" ht="17.25" thickTop="1" thickBot="1" x14ac:dyDescent="0.3">
      <c r="B49" s="11"/>
      <c r="C49" s="11"/>
      <c r="D49" s="11"/>
      <c r="E49" s="19" t="s">
        <v>48</v>
      </c>
      <c r="F49" s="18">
        <f>D20</f>
        <v>14939</v>
      </c>
      <c r="G49" s="11"/>
      <c r="H49" s="11"/>
    </row>
    <row r="50" spans="2:8" ht="16.5" thickTop="1" x14ac:dyDescent="0.25">
      <c r="B50" s="11"/>
      <c r="C50" s="11"/>
      <c r="D50" s="11"/>
      <c r="G50" s="11"/>
      <c r="H50" s="11"/>
    </row>
    <row r="51" spans="2:8" x14ac:dyDescent="0.25">
      <c r="B51" s="11"/>
      <c r="C51" s="11"/>
      <c r="D51" s="11"/>
      <c r="E51" s="5" t="s">
        <v>49</v>
      </c>
      <c r="F51" s="3">
        <v>327</v>
      </c>
      <c r="G51" s="11"/>
      <c r="H51" s="11"/>
    </row>
    <row r="52" spans="2:8" x14ac:dyDescent="0.25">
      <c r="B52" s="11"/>
      <c r="C52" s="11"/>
      <c r="D52" s="11"/>
      <c r="E52" s="5" t="s">
        <v>50</v>
      </c>
      <c r="F52" s="3">
        <v>245</v>
      </c>
      <c r="G52" s="11"/>
      <c r="H52" s="11"/>
    </row>
    <row r="53" spans="2:8" x14ac:dyDescent="0.25">
      <c r="B53" s="11"/>
      <c r="C53" s="11"/>
      <c r="D53" s="11"/>
      <c r="E53" s="5" t="s">
        <v>51</v>
      </c>
      <c r="F53" s="3">
        <v>190</v>
      </c>
      <c r="G53" s="11"/>
      <c r="H53" s="11"/>
    </row>
    <row r="54" spans="2:8" x14ac:dyDescent="0.25">
      <c r="B54" s="11"/>
      <c r="C54" s="11"/>
      <c r="D54" s="11"/>
      <c r="E54" s="5" t="s">
        <v>20</v>
      </c>
      <c r="F54" s="3">
        <f>F56-SUM(F49:F53)</f>
        <v>-140</v>
      </c>
      <c r="G54" s="11"/>
      <c r="H54" s="11"/>
    </row>
    <row r="55" spans="2:8" ht="16.5" thickBot="1" x14ac:dyDescent="0.3">
      <c r="B55" s="11"/>
      <c r="C55" s="11"/>
      <c r="D55" s="11"/>
      <c r="G55" s="11"/>
      <c r="H55" s="11"/>
    </row>
    <row r="56" spans="2:8" ht="17.25" thickTop="1" thickBot="1" x14ac:dyDescent="0.3">
      <c r="B56" s="11"/>
      <c r="C56" s="11"/>
      <c r="D56" s="11"/>
      <c r="E56" s="19" t="s">
        <v>36</v>
      </c>
      <c r="F56" s="18">
        <f>H20</f>
        <v>15561</v>
      </c>
      <c r="G56" s="11"/>
      <c r="H56" s="11"/>
    </row>
    <row r="57" spans="2:8" ht="16.5" thickTop="1" x14ac:dyDescent="0.25">
      <c r="B57" s="11"/>
      <c r="C57" s="11"/>
      <c r="D57" s="11"/>
      <c r="E57" s="11"/>
      <c r="F57" s="11"/>
      <c r="G57" s="11"/>
      <c r="H57" s="11"/>
    </row>
    <row r="58" spans="2:8" x14ac:dyDescent="0.25">
      <c r="B58" s="10"/>
      <c r="C58" s="10"/>
      <c r="D58" s="10"/>
      <c r="E58" s="10"/>
      <c r="F58" s="10"/>
      <c r="G58" s="10"/>
      <c r="H58" s="10"/>
    </row>
    <row r="59" spans="2:8" x14ac:dyDescent="0.25">
      <c r="B59" s="11"/>
      <c r="C59" s="11"/>
      <c r="D59" s="11"/>
      <c r="E59" s="11"/>
      <c r="F59" s="11"/>
      <c r="G59" s="11"/>
      <c r="H59" s="11"/>
    </row>
    <row r="60" spans="2:8" x14ac:dyDescent="0.25">
      <c r="B60" s="11"/>
      <c r="C60" s="11"/>
      <c r="D60" s="11"/>
      <c r="E60" s="11"/>
      <c r="F60" s="11"/>
      <c r="G60" s="11"/>
      <c r="H60" s="11"/>
    </row>
    <row r="61" spans="2:8" ht="31.5" x14ac:dyDescent="0.25">
      <c r="D61" s="16" t="s">
        <v>37</v>
      </c>
      <c r="E61" s="16" t="s">
        <v>38</v>
      </c>
      <c r="F61" s="16" t="s">
        <v>21</v>
      </c>
      <c r="G61" s="16" t="s">
        <v>39</v>
      </c>
    </row>
    <row r="62" spans="2:8" x14ac:dyDescent="0.25">
      <c r="D62" s="17" t="s">
        <v>1</v>
      </c>
      <c r="E62" s="17"/>
      <c r="F62" s="17" t="s">
        <v>1</v>
      </c>
      <c r="G62" s="17" t="s">
        <v>1</v>
      </c>
    </row>
    <row r="63" spans="2:8" x14ac:dyDescent="0.25">
      <c r="D63" s="3">
        <v>35672.01</v>
      </c>
      <c r="E63" s="5" t="s">
        <v>22</v>
      </c>
      <c r="F63" s="3">
        <v>28550.687999999998</v>
      </c>
      <c r="G63" s="3">
        <v>29279.628000000001</v>
      </c>
    </row>
    <row r="64" spans="2:8" x14ac:dyDescent="0.25">
      <c r="D64" s="3">
        <v>10815.319</v>
      </c>
      <c r="E64" s="5" t="s">
        <v>23</v>
      </c>
      <c r="F64" s="3">
        <v>9616.4580000000005</v>
      </c>
      <c r="G64" s="3">
        <v>1514.816</v>
      </c>
    </row>
    <row r="65" spans="2:8" x14ac:dyDescent="0.25">
      <c r="D65" s="3">
        <v>149.94800000000001</v>
      </c>
      <c r="E65" s="12" t="s">
        <v>24</v>
      </c>
      <c r="F65" s="3">
        <v>149.94800000000001</v>
      </c>
      <c r="G65" s="3">
        <v>149.94800000000001</v>
      </c>
    </row>
    <row r="66" spans="2:8" ht="16.5" thickBot="1" x14ac:dyDescent="0.3">
      <c r="E66" s="21"/>
    </row>
    <row r="67" spans="2:8" ht="17.25" thickTop="1" thickBot="1" x14ac:dyDescent="0.3">
      <c r="D67" s="18">
        <f>SUM(D63:D65)</f>
        <v>46637.276999999995</v>
      </c>
      <c r="E67" s="19" t="s">
        <v>25</v>
      </c>
      <c r="F67" s="18">
        <f>SUM(F63:F65)</f>
        <v>38317.093999999997</v>
      </c>
      <c r="G67" s="18">
        <f>SUM(G63:G65)</f>
        <v>30944.392</v>
      </c>
    </row>
    <row r="68" spans="2:8" ht="16.5" thickTop="1" x14ac:dyDescent="0.25"/>
    <row r="69" spans="2:8" x14ac:dyDescent="0.25">
      <c r="B69" s="10"/>
      <c r="C69" s="10"/>
      <c r="D69" s="10"/>
      <c r="E69" s="10"/>
      <c r="F69" s="10"/>
      <c r="G69" s="10"/>
      <c r="H69" s="10"/>
    </row>
    <row r="70" spans="2:8" x14ac:dyDescent="0.25">
      <c r="B70" s="11"/>
      <c r="C70" s="11"/>
      <c r="D70" s="11"/>
      <c r="E70" s="11"/>
      <c r="F70" s="11"/>
      <c r="G70" s="11"/>
      <c r="H70" s="11"/>
    </row>
    <row r="71" spans="2:8" x14ac:dyDescent="0.25">
      <c r="B71" s="11"/>
      <c r="C71" s="11"/>
      <c r="D71" s="11"/>
      <c r="E71" s="11"/>
      <c r="F71" s="11"/>
      <c r="G71" s="11"/>
      <c r="H71" s="11"/>
    </row>
    <row r="72" spans="2:8" ht="31.5" x14ac:dyDescent="0.25">
      <c r="E72" s="16" t="s">
        <v>40</v>
      </c>
      <c r="F72" s="17" t="s">
        <v>1</v>
      </c>
    </row>
    <row r="74" spans="2:8" x14ac:dyDescent="0.25">
      <c r="E74" s="5" t="s">
        <v>26</v>
      </c>
      <c r="F74" s="14">
        <v>29139</v>
      </c>
    </row>
    <row r="75" spans="2:8" x14ac:dyDescent="0.25">
      <c r="E75" s="12" t="s">
        <v>27</v>
      </c>
      <c r="F75" s="15">
        <v>109023</v>
      </c>
    </row>
    <row r="76" spans="2:8" ht="16.5" thickBot="1" x14ac:dyDescent="0.3">
      <c r="E76" s="13"/>
      <c r="F76" s="13"/>
    </row>
    <row r="77" spans="2:8" ht="17.25" thickTop="1" thickBot="1" x14ac:dyDescent="0.3">
      <c r="E77" s="19" t="s">
        <v>52</v>
      </c>
      <c r="F77" s="18">
        <f>SUM(F73:F75)</f>
        <v>138162</v>
      </c>
    </row>
    <row r="78" spans="2:8" ht="16.5" thickTop="1" x14ac:dyDescent="0.25"/>
  </sheetData>
  <pageMargins left="0.31496062992125984" right="0.31496062992125984" top="0.3543307086614173" bottom="0.3543307086614173" header="0.31496062992125984" footer="0.31496062992125984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DE2B0-A2C0-40D6-80A0-6D77E9A920C1}">
  <sheetPr>
    <tabColor rgb="FFFFFF00"/>
  </sheetPr>
  <dimension ref="A1:P76"/>
  <sheetViews>
    <sheetView tabSelected="1" topLeftCell="A60" zoomScale="90" zoomScaleNormal="90" workbookViewId="0">
      <selection activeCell="E74" sqref="E74"/>
    </sheetView>
  </sheetViews>
  <sheetFormatPr defaultColWidth="8.88671875" defaultRowHeight="15.75" x14ac:dyDescent="0.25"/>
  <cols>
    <col min="1" max="1" width="1.21875" style="2" customWidth="1"/>
    <col min="2" max="4" width="11.6640625" style="2" customWidth="1"/>
    <col min="5" max="5" width="37.88671875" style="2" customWidth="1"/>
    <col min="6" max="8" width="11.6640625" style="2" customWidth="1"/>
    <col min="9" max="13" width="8.88671875" style="2"/>
    <col min="14" max="14" width="9.33203125" style="2" bestFit="1" customWidth="1"/>
    <col min="15" max="16384" width="8.88671875" style="2"/>
  </cols>
  <sheetData>
    <row r="1" spans="1:12" x14ac:dyDescent="0.25">
      <c r="A1" s="22"/>
      <c r="B1" s="22" t="s">
        <v>81</v>
      </c>
    </row>
    <row r="3" spans="1:12" x14ac:dyDescent="0.25">
      <c r="B3" s="2" t="s">
        <v>0</v>
      </c>
    </row>
    <row r="5" spans="1:12" ht="47.25" x14ac:dyDescent="0.25">
      <c r="B5" s="46" t="s">
        <v>28</v>
      </c>
      <c r="C5" s="46" t="s">
        <v>29</v>
      </c>
      <c r="D5" s="46" t="s">
        <v>30</v>
      </c>
      <c r="E5" s="47"/>
      <c r="F5" s="46" t="s">
        <v>58</v>
      </c>
      <c r="G5" s="46" t="s">
        <v>59</v>
      </c>
      <c r="H5" s="46" t="s">
        <v>60</v>
      </c>
    </row>
    <row r="6" spans="1:12" ht="31.5" x14ac:dyDescent="0.25">
      <c r="B6" s="45" t="s">
        <v>43</v>
      </c>
      <c r="C6" s="45" t="s">
        <v>43</v>
      </c>
      <c r="D6" s="45" t="s">
        <v>43</v>
      </c>
      <c r="E6" s="45"/>
      <c r="F6" s="45" t="s">
        <v>61</v>
      </c>
      <c r="G6" s="45" t="s">
        <v>61</v>
      </c>
      <c r="H6" s="45" t="s">
        <v>61</v>
      </c>
    </row>
    <row r="8" spans="1:12" x14ac:dyDescent="0.25">
      <c r="B8" s="3">
        <v>8274</v>
      </c>
      <c r="C8" s="3">
        <v>-2889</v>
      </c>
      <c r="D8" s="1">
        <f>SUM(B8:C8)+1</f>
        <v>5386</v>
      </c>
      <c r="E8" s="5" t="s">
        <v>53</v>
      </c>
      <c r="F8" s="3">
        <v>9036</v>
      </c>
      <c r="G8" s="3">
        <v>-3184</v>
      </c>
      <c r="H8" s="1">
        <f>SUM(F8:G8)</f>
        <v>5852</v>
      </c>
    </row>
    <row r="9" spans="1:12" x14ac:dyDescent="0.25">
      <c r="B9" s="3">
        <v>7580</v>
      </c>
      <c r="C9" s="3">
        <v>-5443</v>
      </c>
      <c r="D9" s="1">
        <f t="shared" ref="D9:D14" si="0">SUM(B9:C9)</f>
        <v>2137</v>
      </c>
      <c r="E9" s="5" t="s">
        <v>54</v>
      </c>
      <c r="F9" s="3">
        <v>7710</v>
      </c>
      <c r="G9" s="3">
        <v>-6147</v>
      </c>
      <c r="H9" s="1">
        <f t="shared" ref="H9:H14" si="1">SUM(F9:G9)</f>
        <v>1563</v>
      </c>
    </row>
    <row r="10" spans="1:12" x14ac:dyDescent="0.25">
      <c r="B10" s="3">
        <v>23568</v>
      </c>
      <c r="C10" s="3">
        <v>-21627</v>
      </c>
      <c r="D10" s="1">
        <f t="shared" si="0"/>
        <v>1941</v>
      </c>
      <c r="E10" s="5" t="s">
        <v>55</v>
      </c>
      <c r="F10" s="3">
        <v>24150</v>
      </c>
      <c r="G10" s="3">
        <v>-21511</v>
      </c>
      <c r="H10" s="1">
        <f t="shared" si="1"/>
        <v>2639</v>
      </c>
    </row>
    <row r="11" spans="1:12" x14ac:dyDescent="0.25">
      <c r="B11" s="3">
        <v>6816</v>
      </c>
      <c r="C11" s="3">
        <v>-1842</v>
      </c>
      <c r="D11" s="1">
        <f t="shared" si="0"/>
        <v>4974</v>
      </c>
      <c r="E11" s="5" t="s">
        <v>56</v>
      </c>
      <c r="F11" s="3">
        <v>7874</v>
      </c>
      <c r="G11" s="3">
        <v>-2371</v>
      </c>
      <c r="H11" s="1">
        <f t="shared" si="1"/>
        <v>5503</v>
      </c>
    </row>
    <row r="12" spans="1:12" x14ac:dyDescent="0.25">
      <c r="B12" s="3">
        <v>3762</v>
      </c>
      <c r="C12" s="3">
        <v>-1141</v>
      </c>
      <c r="D12" s="1">
        <f t="shared" si="0"/>
        <v>2621</v>
      </c>
      <c r="E12" s="5" t="s">
        <v>57</v>
      </c>
      <c r="F12" s="3">
        <v>4381</v>
      </c>
      <c r="G12" s="3">
        <v>-952</v>
      </c>
      <c r="H12" s="1">
        <f t="shared" si="1"/>
        <v>3429</v>
      </c>
    </row>
    <row r="13" spans="1:12" x14ac:dyDescent="0.25">
      <c r="B13" s="3">
        <v>666</v>
      </c>
      <c r="C13" s="3"/>
      <c r="D13" s="1">
        <f t="shared" si="0"/>
        <v>666</v>
      </c>
      <c r="E13" s="5" t="s">
        <v>6</v>
      </c>
      <c r="F13" s="26">
        <v>933</v>
      </c>
      <c r="G13" s="3"/>
      <c r="H13" s="1">
        <f t="shared" si="1"/>
        <v>933</v>
      </c>
      <c r="L13" s="3"/>
    </row>
    <row r="14" spans="1:12" x14ac:dyDescent="0.25">
      <c r="B14" s="3">
        <v>12</v>
      </c>
      <c r="C14" s="3"/>
      <c r="D14" s="1">
        <f t="shared" si="0"/>
        <v>12</v>
      </c>
      <c r="E14" s="5" t="s">
        <v>7</v>
      </c>
      <c r="F14" s="3">
        <v>14</v>
      </c>
      <c r="G14" s="3"/>
      <c r="H14" s="1">
        <f t="shared" si="1"/>
        <v>14</v>
      </c>
    </row>
    <row r="15" spans="1:12" ht="16.5" thickBot="1" x14ac:dyDescent="0.3"/>
    <row r="16" spans="1:12" ht="17.25" thickTop="1" thickBot="1" x14ac:dyDescent="0.3">
      <c r="B16" s="18">
        <f>SUM(B8:B14)</f>
        <v>50678</v>
      </c>
      <c r="C16" s="18">
        <f>SUM(C8:C14)</f>
        <v>-32942</v>
      </c>
      <c r="D16" s="18">
        <f>SUM(D8:D14)</f>
        <v>17737</v>
      </c>
      <c r="E16" s="19" t="s">
        <v>8</v>
      </c>
      <c r="F16" s="18">
        <f>SUM(F8:F14)</f>
        <v>54098</v>
      </c>
      <c r="G16" s="18">
        <f>SUM(G8:G14)</f>
        <v>-34165</v>
      </c>
      <c r="H16" s="18">
        <f>SUM(H8:H14)</f>
        <v>19933</v>
      </c>
    </row>
    <row r="17" spans="2:9" ht="16.5" thickTop="1" x14ac:dyDescent="0.25"/>
    <row r="18" spans="2:9" x14ac:dyDescent="0.25">
      <c r="B18" s="3">
        <v>-3460</v>
      </c>
      <c r="C18" s="3">
        <v>790</v>
      </c>
      <c r="D18" s="1">
        <f t="shared" ref="D18" si="2">SUM(B18:C18)</f>
        <v>-2670</v>
      </c>
      <c r="E18" s="5" t="s">
        <v>9</v>
      </c>
      <c r="F18" s="3">
        <v>-3692</v>
      </c>
      <c r="G18" s="3">
        <v>790</v>
      </c>
      <c r="H18" s="1">
        <f t="shared" ref="H18:H19" si="3">SUM(F18:G18)</f>
        <v>-2902</v>
      </c>
    </row>
    <row r="19" spans="2:9" x14ac:dyDescent="0.25">
      <c r="B19" s="3">
        <v>1617</v>
      </c>
      <c r="C19" s="3">
        <v>-1123</v>
      </c>
      <c r="D19" s="1">
        <f>SUM(B19:C19)</f>
        <v>494</v>
      </c>
      <c r="E19" s="5" t="s">
        <v>10</v>
      </c>
      <c r="F19" s="3">
        <v>1621</v>
      </c>
      <c r="G19" s="3">
        <v>-1693</v>
      </c>
      <c r="H19" s="1">
        <f t="shared" si="3"/>
        <v>-72</v>
      </c>
    </row>
    <row r="20" spans="2:9" ht="16.5" thickBot="1" x14ac:dyDescent="0.3"/>
    <row r="21" spans="2:9" ht="17.25" thickTop="1" thickBot="1" x14ac:dyDescent="0.3">
      <c r="B21" s="18">
        <f t="shared" ref="B21:G21" si="4">SUM(B16, B18:B19)</f>
        <v>48835</v>
      </c>
      <c r="C21" s="18">
        <f t="shared" si="4"/>
        <v>-33275</v>
      </c>
      <c r="D21" s="18">
        <f>SUM(D16, D18:D19)</f>
        <v>15561</v>
      </c>
      <c r="E21" s="19" t="s">
        <v>11</v>
      </c>
      <c r="F21" s="18">
        <f t="shared" si="4"/>
        <v>52027</v>
      </c>
      <c r="G21" s="18">
        <f t="shared" si="4"/>
        <v>-35068</v>
      </c>
      <c r="H21" s="18">
        <f>SUM(H16, H18:H19)</f>
        <v>16959</v>
      </c>
    </row>
    <row r="22" spans="2:9" ht="16.5" thickTop="1" x14ac:dyDescent="0.25">
      <c r="B22" s="6"/>
      <c r="C22" s="6"/>
      <c r="D22" s="6"/>
      <c r="E22" s="6"/>
      <c r="F22" s="6"/>
      <c r="G22" s="6"/>
      <c r="H22" s="6"/>
      <c r="I22" s="9"/>
    </row>
    <row r="24" spans="2:9" x14ac:dyDescent="0.25">
      <c r="B24" s="2" t="s">
        <v>12</v>
      </c>
    </row>
    <row r="26" spans="2:9" x14ac:dyDescent="0.25">
      <c r="B26" s="44" t="s">
        <v>31</v>
      </c>
      <c r="F26" s="48" t="s">
        <v>62</v>
      </c>
    </row>
    <row r="27" spans="2:9" x14ac:dyDescent="0.25">
      <c r="B27" s="3">
        <v>123100</v>
      </c>
      <c r="C27" s="5" t="s">
        <v>33</v>
      </c>
      <c r="E27" s="5" t="s">
        <v>14</v>
      </c>
      <c r="F27" s="3">
        <v>124000</v>
      </c>
      <c r="G27" s="5" t="s">
        <v>64</v>
      </c>
    </row>
    <row r="29" spans="2:9" x14ac:dyDescent="0.25">
      <c r="B29" s="46" t="s">
        <v>31</v>
      </c>
      <c r="C29" s="46" t="s">
        <v>31</v>
      </c>
      <c r="F29" s="49" t="s">
        <v>62</v>
      </c>
      <c r="G29" s="49" t="s">
        <v>62</v>
      </c>
    </row>
    <row r="30" spans="2:9" ht="31.5" x14ac:dyDescent="0.25">
      <c r="B30" s="45" t="s">
        <v>43</v>
      </c>
      <c r="C30" s="45" t="s">
        <v>45</v>
      </c>
      <c r="D30" s="24"/>
      <c r="E30" s="24"/>
      <c r="F30" s="45" t="s">
        <v>61</v>
      </c>
      <c r="G30" s="45" t="s">
        <v>66</v>
      </c>
    </row>
    <row r="32" spans="2:9" x14ac:dyDescent="0.25">
      <c r="B32" s="3">
        <f>D21</f>
        <v>15561</v>
      </c>
      <c r="C32" s="4">
        <f>(B32*1000)/B$27</f>
        <v>126.40942323314378</v>
      </c>
      <c r="E32" s="5" t="s">
        <v>15</v>
      </c>
      <c r="F32" s="3">
        <f>H21</f>
        <v>16959</v>
      </c>
      <c r="G32" s="4">
        <f>(F32*1000)/F$27</f>
        <v>136.76612903225808</v>
      </c>
    </row>
    <row r="33" spans="2:10" x14ac:dyDescent="0.25">
      <c r="B33" s="3">
        <v>3425</v>
      </c>
      <c r="C33" s="4">
        <f>(B33*1000)/B$27</f>
        <v>27.822908204711617</v>
      </c>
      <c r="E33" s="5" t="s">
        <v>16</v>
      </c>
      <c r="F33" s="3">
        <v>3573</v>
      </c>
      <c r="G33" s="4">
        <f>(F33*1000)/F$27</f>
        <v>28.81451612903226</v>
      </c>
    </row>
    <row r="34" spans="2:10" ht="16.5" thickBot="1" x14ac:dyDescent="0.3"/>
    <row r="35" spans="2:10" ht="17.25" thickTop="1" thickBot="1" x14ac:dyDescent="0.3">
      <c r="B35" s="18">
        <f>SUM(B32:B33)</f>
        <v>18986</v>
      </c>
      <c r="C35" s="20">
        <f>(B35*1000)/B$27</f>
        <v>154.23233143785541</v>
      </c>
      <c r="E35" s="19" t="s">
        <v>11</v>
      </c>
      <c r="F35" s="18">
        <f>SUM(F32:F33)</f>
        <v>20532</v>
      </c>
      <c r="G35" s="20">
        <f>(F35*1000)/F$27</f>
        <v>165.58064516129033</v>
      </c>
      <c r="J35" s="8"/>
    </row>
    <row r="36" spans="2:10" ht="16.5" thickTop="1" x14ac:dyDescent="0.25"/>
    <row r="37" spans="2:10" x14ac:dyDescent="0.25">
      <c r="B37" s="3">
        <v>147</v>
      </c>
      <c r="E37" s="5" t="s">
        <v>34</v>
      </c>
      <c r="F37" s="3">
        <v>268</v>
      </c>
    </row>
    <row r="38" spans="2:10" x14ac:dyDescent="0.25">
      <c r="B38" s="3">
        <v>421</v>
      </c>
      <c r="E38" s="5" t="s">
        <v>35</v>
      </c>
      <c r="F38" s="3">
        <f>960+888</f>
        <v>1848</v>
      </c>
    </row>
    <row r="39" spans="2:10" x14ac:dyDescent="0.25">
      <c r="B39" s="3">
        <v>6403</v>
      </c>
      <c r="E39" s="5" t="s">
        <v>17</v>
      </c>
      <c r="F39" s="3">
        <v>8536</v>
      </c>
    </row>
    <row r="40" spans="2:10" x14ac:dyDescent="0.25">
      <c r="B40" s="3">
        <f>B33</f>
        <v>3425</v>
      </c>
      <c r="E40" s="5" t="s">
        <v>18</v>
      </c>
      <c r="F40" s="3">
        <f>F33</f>
        <v>3573</v>
      </c>
    </row>
    <row r="41" spans="2:10" x14ac:dyDescent="0.25">
      <c r="B41" s="3">
        <v>658</v>
      </c>
      <c r="E41" s="5" t="s">
        <v>46</v>
      </c>
      <c r="F41" s="3">
        <v>-1457</v>
      </c>
    </row>
    <row r="42" spans="2:10" x14ac:dyDescent="0.25">
      <c r="B42" s="25">
        <v>-286</v>
      </c>
      <c r="E42" s="11" t="s">
        <v>65</v>
      </c>
      <c r="F42" s="25">
        <v>141</v>
      </c>
    </row>
    <row r="43" spans="2:10" ht="16.5" thickBot="1" x14ac:dyDescent="0.3"/>
    <row r="44" spans="2:10" ht="17.25" thickTop="1" thickBot="1" x14ac:dyDescent="0.3">
      <c r="B44" s="18">
        <f>B35-SUM(B37:B41)+B42</f>
        <v>7646</v>
      </c>
      <c r="C44" s="7"/>
      <c r="D44" s="8"/>
      <c r="E44" s="28" t="s">
        <v>19</v>
      </c>
      <c r="F44" s="18">
        <f>F35-SUM(F37:F41)+F42</f>
        <v>7905</v>
      </c>
      <c r="G44" s="7"/>
    </row>
    <row r="45" spans="2:10" ht="16.5" thickTop="1" x14ac:dyDescent="0.25">
      <c r="B45" s="27"/>
      <c r="C45" s="11"/>
      <c r="D45" s="11"/>
      <c r="E45" s="29"/>
      <c r="F45" s="27"/>
      <c r="G45" s="11"/>
    </row>
    <row r="46" spans="2:10" ht="32.25" thickBot="1" x14ac:dyDescent="0.3">
      <c r="B46" s="27">
        <v>41205</v>
      </c>
      <c r="C46" s="11"/>
      <c r="D46" s="11"/>
      <c r="E46" s="29" t="s">
        <v>74</v>
      </c>
      <c r="F46" s="27">
        <v>41790.160000000003</v>
      </c>
      <c r="G46" s="11"/>
    </row>
    <row r="47" spans="2:10" ht="33" thickTop="1" thickBot="1" x14ac:dyDescent="0.3">
      <c r="B47" s="38">
        <f>B44*1000/B46</f>
        <v>185.56000485377987</v>
      </c>
      <c r="C47" s="11"/>
      <c r="D47" s="11"/>
      <c r="E47" s="37" t="s">
        <v>80</v>
      </c>
      <c r="F47" s="38">
        <f>F44*1000/F46</f>
        <v>189.15936191677656</v>
      </c>
      <c r="G47" s="11"/>
    </row>
    <row r="48" spans="2:10" ht="16.5" thickTop="1" x14ac:dyDescent="0.25">
      <c r="B48" s="27"/>
      <c r="C48" s="11"/>
      <c r="D48" s="11"/>
      <c r="E48" s="29"/>
      <c r="F48" s="27"/>
      <c r="G48" s="11"/>
      <c r="I48" s="9"/>
    </row>
    <row r="49" spans="2:16" x14ac:dyDescent="0.25">
      <c r="B49" s="30"/>
      <c r="C49" s="10"/>
      <c r="D49" s="10"/>
      <c r="E49" s="31"/>
      <c r="F49" s="30"/>
      <c r="G49" s="10"/>
      <c r="H49" s="10"/>
    </row>
    <row r="50" spans="2:16" x14ac:dyDescent="0.25">
      <c r="B50" s="35" t="s">
        <v>79</v>
      </c>
      <c r="C50" s="36"/>
      <c r="D50" s="36"/>
      <c r="E50" s="29"/>
      <c r="F50" s="27"/>
      <c r="G50" s="11"/>
      <c r="H50" s="11"/>
    </row>
    <row r="51" spans="2:16" x14ac:dyDescent="0.25">
      <c r="B51" s="35"/>
      <c r="C51" s="36"/>
      <c r="D51" s="36"/>
      <c r="E51" s="29"/>
      <c r="F51" s="27"/>
      <c r="G51" s="11"/>
      <c r="H51" s="11"/>
    </row>
    <row r="52" spans="2:16" x14ac:dyDescent="0.25">
      <c r="B52" s="46" t="s">
        <v>31</v>
      </c>
      <c r="C52" s="46" t="s">
        <v>31</v>
      </c>
      <c r="D52" s="46" t="s">
        <v>31</v>
      </c>
      <c r="E52" s="29"/>
      <c r="F52" s="49" t="s">
        <v>62</v>
      </c>
      <c r="G52" s="49" t="s">
        <v>62</v>
      </c>
      <c r="H52" s="49" t="s">
        <v>62</v>
      </c>
      <c r="I52" s="47"/>
    </row>
    <row r="53" spans="2:16" s="24" customFormat="1" ht="47.25" x14ac:dyDescent="0.25">
      <c r="B53" s="50" t="s">
        <v>77</v>
      </c>
      <c r="C53" s="46" t="s">
        <v>75</v>
      </c>
      <c r="D53" s="46" t="s">
        <v>76</v>
      </c>
      <c r="E53" s="29"/>
      <c r="F53" s="50" t="s">
        <v>77</v>
      </c>
      <c r="G53" s="46" t="s">
        <v>75</v>
      </c>
      <c r="H53" s="46" t="s">
        <v>76</v>
      </c>
      <c r="I53" s="46" t="s">
        <v>78</v>
      </c>
      <c r="L53" s="58"/>
      <c r="M53" s="58"/>
    </row>
    <row r="54" spans="2:16" ht="31.5" x14ac:dyDescent="0.25">
      <c r="B54" s="39">
        <f>B44</f>
        <v>7646</v>
      </c>
      <c r="C54" s="40">
        <v>185.56</v>
      </c>
      <c r="D54" s="43">
        <f>B54/$B$60</f>
        <v>8.2412666932537154E-2</v>
      </c>
      <c r="E54" s="32" t="s">
        <v>67</v>
      </c>
      <c r="F54" s="39">
        <f>F44</f>
        <v>7905</v>
      </c>
      <c r="G54" s="41">
        <f>F54*1000/F46</f>
        <v>189.15936191677656</v>
      </c>
      <c r="H54" s="43">
        <f t="shared" ref="H54:H59" si="5">F54/$F$60</f>
        <v>8.0251362902652709E-2</v>
      </c>
      <c r="I54" s="34">
        <f>(G54/C54)-1</f>
        <v>1.9397294227077921E-2</v>
      </c>
    </row>
    <row r="55" spans="2:16" ht="31.5" x14ac:dyDescent="0.25">
      <c r="B55" s="39">
        <v>59625</v>
      </c>
      <c r="C55" s="40">
        <v>1447.02</v>
      </c>
      <c r="D55" s="43">
        <f t="shared" ref="D55:D59" si="6">B55/$B$60</f>
        <v>0.64267005831186608</v>
      </c>
      <c r="E55" s="32" t="s">
        <v>68</v>
      </c>
      <c r="F55" s="39">
        <v>62422</v>
      </c>
      <c r="G55" s="41">
        <f>F55*1000/F46+0.01</f>
        <v>1493.710909496398</v>
      </c>
      <c r="H55" s="43">
        <f t="shared" si="5"/>
        <v>0.6337065876166208</v>
      </c>
      <c r="I55" s="34">
        <v>2.8400000000000002E-2</v>
      </c>
      <c r="L55" s="42"/>
      <c r="M55" s="42"/>
      <c r="N55" s="42"/>
      <c r="O55" s="42"/>
      <c r="P55" s="59"/>
    </row>
    <row r="56" spans="2:16" ht="31.5" x14ac:dyDescent="0.25">
      <c r="B56" s="39">
        <v>8120</v>
      </c>
      <c r="C56" s="40">
        <v>197.07</v>
      </c>
      <c r="D56" s="43">
        <f t="shared" si="6"/>
        <v>8.7521691798613882E-2</v>
      </c>
      <c r="E56" s="32" t="s">
        <v>69</v>
      </c>
      <c r="F56" s="39">
        <v>9610</v>
      </c>
      <c r="G56" s="41">
        <f>F56*1000/F46-0.01</f>
        <v>229.94843997725781</v>
      </c>
      <c r="H56" s="43">
        <f t="shared" si="5"/>
        <v>9.7560480391460161E-2</v>
      </c>
      <c r="I56" s="34">
        <v>0.02</v>
      </c>
      <c r="K56" s="42"/>
      <c r="L56" s="42"/>
      <c r="M56" s="42"/>
      <c r="N56" s="42"/>
    </row>
    <row r="57" spans="2:16" ht="31.5" x14ac:dyDescent="0.25">
      <c r="B57" s="39">
        <v>10476</v>
      </c>
      <c r="C57" s="40">
        <v>254.25</v>
      </c>
      <c r="D57" s="43">
        <f t="shared" si="6"/>
        <v>0.11291591666037919</v>
      </c>
      <c r="E57" s="32" t="s">
        <v>70</v>
      </c>
      <c r="F57" s="39">
        <v>11250</v>
      </c>
      <c r="G57" s="41">
        <f>F57*1000/F46-0.01</f>
        <v>269.19212796505207</v>
      </c>
      <c r="H57" s="43">
        <f t="shared" si="5"/>
        <v>0.11420971950092891</v>
      </c>
      <c r="I57" s="34">
        <f>(G57/C57)-1</f>
        <v>5.8769431524295257E-2</v>
      </c>
      <c r="M57" s="42"/>
    </row>
    <row r="58" spans="2:16" ht="31.5" x14ac:dyDescent="0.25">
      <c r="B58" s="39">
        <v>3485</v>
      </c>
      <c r="C58" s="40">
        <v>84.57</v>
      </c>
      <c r="D58" s="43">
        <f t="shared" si="6"/>
        <v>3.7563189152483911E-2</v>
      </c>
      <c r="E58" s="32" t="s">
        <v>71</v>
      </c>
      <c r="F58" s="39">
        <v>3743</v>
      </c>
      <c r="G58" s="41">
        <f>F58*1000/F46</f>
        <v>89.56653910872798</v>
      </c>
      <c r="H58" s="43">
        <f t="shared" si="5"/>
        <v>3.7998842674842388E-2</v>
      </c>
      <c r="I58" s="34">
        <f t="shared" ref="I58" si="7">(G58/C58)-1</f>
        <v>5.9081696922407279E-2</v>
      </c>
      <c r="M58" s="42"/>
    </row>
    <row r="59" spans="2:16" ht="32.25" thickBot="1" x14ac:dyDescent="0.3">
      <c r="B59" s="39">
        <v>3425</v>
      </c>
      <c r="C59" s="40">
        <v>83.12</v>
      </c>
      <c r="D59" s="43">
        <f t="shared" si="6"/>
        <v>3.6916477144119768E-2</v>
      </c>
      <c r="E59" s="32" t="s">
        <v>72</v>
      </c>
      <c r="F59" s="39">
        <f>F33</f>
        <v>3573</v>
      </c>
      <c r="G59" s="41">
        <f>(F59*1000/F46)-0.01</f>
        <v>85.488595841700516</v>
      </c>
      <c r="H59" s="43">
        <f t="shared" si="5"/>
        <v>3.6273006913495019E-2</v>
      </c>
      <c r="I59" s="34">
        <f>(G59/C59)-1</f>
        <v>2.8496100116705003E-2</v>
      </c>
    </row>
    <row r="60" spans="2:16" ht="17.25" thickTop="1" thickBot="1" x14ac:dyDescent="0.3">
      <c r="B60" s="54">
        <f>SUM(B54:B59)</f>
        <v>92777</v>
      </c>
      <c r="C60" s="55">
        <f>SUM(C54:C59)</f>
        <v>2251.5899999999997</v>
      </c>
      <c r="D60" s="33"/>
      <c r="E60" s="52" t="s">
        <v>73</v>
      </c>
      <c r="F60" s="51">
        <f>SUM(F54:F59)</f>
        <v>98503</v>
      </c>
      <c r="G60" s="53">
        <f>SUM(G54:G59)</f>
        <v>2357.0659743059127</v>
      </c>
      <c r="H60" s="33"/>
      <c r="I60" s="56">
        <f>(G60/C60)-1</f>
        <v>4.6845106927066338E-2</v>
      </c>
    </row>
    <row r="61" spans="2:16" ht="16.5" thickTop="1" x14ac:dyDescent="0.25">
      <c r="B61" s="9"/>
      <c r="C61" s="9"/>
      <c r="D61" s="9"/>
      <c r="E61" s="9"/>
      <c r="F61" s="9"/>
      <c r="G61" s="9"/>
      <c r="H61" s="9"/>
      <c r="I61" s="57"/>
      <c r="M61" s="42"/>
    </row>
    <row r="62" spans="2:16" x14ac:dyDescent="0.25">
      <c r="B62" s="10"/>
      <c r="C62" s="10"/>
      <c r="D62" s="10"/>
      <c r="E62" s="10"/>
      <c r="F62" s="10"/>
      <c r="G62" s="10"/>
      <c r="H62" s="10"/>
      <c r="M62" s="42"/>
      <c r="N62" s="42"/>
    </row>
    <row r="63" spans="2:16" x14ac:dyDescent="0.25">
      <c r="B63" s="11" t="s">
        <v>63</v>
      </c>
      <c r="C63" s="11"/>
      <c r="D63" s="11"/>
      <c r="E63" s="11"/>
      <c r="F63" s="11"/>
      <c r="G63" s="11"/>
      <c r="H63" s="11"/>
    </row>
    <row r="64" spans="2:16" x14ac:dyDescent="0.25">
      <c r="B64" s="11"/>
      <c r="C64" s="11"/>
      <c r="D64" s="11"/>
      <c r="E64" s="11"/>
      <c r="F64" s="11"/>
      <c r="G64" s="11"/>
      <c r="H64" s="11"/>
    </row>
    <row r="65" spans="2:9" x14ac:dyDescent="0.25">
      <c r="B65" s="11"/>
      <c r="C65" s="11"/>
      <c r="D65" s="11"/>
      <c r="E65" s="11"/>
      <c r="F65" s="17" t="s">
        <v>1</v>
      </c>
      <c r="G65" s="11"/>
      <c r="H65" s="11"/>
    </row>
    <row r="66" spans="2:9" ht="16.5" thickBot="1" x14ac:dyDescent="0.3">
      <c r="B66" s="11"/>
      <c r="C66" s="11"/>
      <c r="D66" s="11"/>
      <c r="E66" s="11"/>
      <c r="G66" s="11"/>
      <c r="H66" s="11"/>
    </row>
    <row r="67" spans="2:9" ht="17.25" thickTop="1" thickBot="1" x14ac:dyDescent="0.3">
      <c r="B67" s="11"/>
      <c r="C67" s="11"/>
      <c r="D67" s="11"/>
      <c r="E67" s="19" t="s">
        <v>48</v>
      </c>
      <c r="F67" s="18">
        <f>D21</f>
        <v>15561</v>
      </c>
      <c r="G67" s="11"/>
      <c r="H67" s="11"/>
    </row>
    <row r="68" spans="2:9" ht="16.5" thickTop="1" x14ac:dyDescent="0.25">
      <c r="B68" s="11"/>
      <c r="C68" s="11"/>
      <c r="D68" s="11"/>
      <c r="G68" s="11"/>
      <c r="H68" s="11"/>
    </row>
    <row r="69" spans="2:9" x14ac:dyDescent="0.25">
      <c r="B69" s="11"/>
      <c r="C69" s="11"/>
      <c r="D69" s="11"/>
      <c r="E69" s="5" t="s">
        <v>49</v>
      </c>
      <c r="F69" s="3">
        <v>565</v>
      </c>
      <c r="G69" s="11"/>
      <c r="H69" s="11"/>
    </row>
    <row r="70" spans="2:9" x14ac:dyDescent="0.25">
      <c r="B70" s="11"/>
      <c r="C70" s="11"/>
      <c r="D70" s="11"/>
      <c r="E70" s="5" t="s">
        <v>51</v>
      </c>
      <c r="F70" s="3">
        <v>463</v>
      </c>
      <c r="G70" s="11"/>
      <c r="H70" s="11"/>
    </row>
    <row r="71" spans="2:9" x14ac:dyDescent="0.25">
      <c r="B71" s="11"/>
      <c r="C71" s="11"/>
      <c r="D71" s="11"/>
      <c r="E71" s="5" t="s">
        <v>82</v>
      </c>
      <c r="F71" s="3">
        <v>88</v>
      </c>
      <c r="G71" s="11"/>
      <c r="H71" s="11"/>
    </row>
    <row r="72" spans="2:9" x14ac:dyDescent="0.25">
      <c r="B72" s="11"/>
      <c r="C72" s="11"/>
      <c r="D72" s="11"/>
      <c r="E72" s="5" t="s">
        <v>84</v>
      </c>
      <c r="F72" s="3">
        <v>269</v>
      </c>
      <c r="G72" s="11"/>
      <c r="H72" s="11"/>
    </row>
    <row r="73" spans="2:9" x14ac:dyDescent="0.25">
      <c r="B73" s="11"/>
      <c r="C73" s="11"/>
      <c r="D73" s="11"/>
      <c r="E73" s="5" t="s">
        <v>20</v>
      </c>
      <c r="F73" s="3">
        <v>13</v>
      </c>
      <c r="G73" s="11"/>
      <c r="H73" s="11"/>
    </row>
    <row r="74" spans="2:9" ht="16.5" thickBot="1" x14ac:dyDescent="0.3">
      <c r="B74" s="11"/>
      <c r="C74" s="11"/>
      <c r="D74" s="11"/>
      <c r="G74" s="11"/>
      <c r="H74" s="11"/>
    </row>
    <row r="75" spans="2:9" ht="17.25" thickTop="1" thickBot="1" x14ac:dyDescent="0.3">
      <c r="B75" s="11"/>
      <c r="C75" s="11"/>
      <c r="D75" s="11"/>
      <c r="E75" s="19" t="s">
        <v>83</v>
      </c>
      <c r="F75" s="18">
        <f>H21</f>
        <v>16959</v>
      </c>
      <c r="G75" s="11"/>
      <c r="H75" s="11"/>
    </row>
    <row r="76" spans="2:9" ht="16.5" thickTop="1" x14ac:dyDescent="0.25">
      <c r="B76" s="9"/>
      <c r="C76" s="9"/>
      <c r="D76" s="9"/>
      <c r="E76" s="9"/>
      <c r="F76" s="9"/>
      <c r="G76" s="9"/>
      <c r="H76" s="9"/>
      <c r="I76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2022-23</vt:lpstr>
      <vt:lpstr>2023-24</vt:lpstr>
    </vt:vector>
  </TitlesOfParts>
  <Company>NSDC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mohammeds</dc:creator>
  <cp:lastModifiedBy>nickw</cp:lastModifiedBy>
  <cp:lastPrinted>2021-03-03T11:28:43Z</cp:lastPrinted>
  <dcterms:created xsi:type="dcterms:W3CDTF">2021-03-03T11:25:03Z</dcterms:created>
  <dcterms:modified xsi:type="dcterms:W3CDTF">2023-03-16T15:28:30Z</dcterms:modified>
</cp:coreProperties>
</file>