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ACEST2627\Collection Fund\CTAX\Budget Information\"/>
    </mc:Choice>
  </mc:AlternateContent>
  <xr:revisionPtr revIDLastSave="0" documentId="8_{80036FB1-47B3-42BE-BB1E-9DEE347AFB95}" xr6:coauthVersionLast="47" xr6:coauthVersionMax="47" xr10:uidLastSave="{00000000-0000-0000-0000-000000000000}"/>
  <bookViews>
    <workbookView xWindow="-25320" yWindow="150" windowWidth="25440" windowHeight="15270" xr2:uid="{1A90C745-5C74-4BD5-A043-D5C650F4FF3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" l="1"/>
  <c r="B41" i="1"/>
  <c r="G37" i="1"/>
  <c r="C37" i="1"/>
  <c r="H23" i="1"/>
  <c r="D23" i="1"/>
  <c r="C23" i="1"/>
  <c r="B23" i="1"/>
  <c r="H22" i="1"/>
  <c r="B22" i="1"/>
  <c r="D22" i="1" s="1"/>
  <c r="G20" i="1"/>
  <c r="G25" i="1" s="1"/>
  <c r="F20" i="1"/>
  <c r="F25" i="1" s="1"/>
  <c r="C20" i="1"/>
  <c r="C25" i="1" s="1"/>
  <c r="H18" i="1"/>
  <c r="D18" i="1"/>
  <c r="H17" i="1"/>
  <c r="D17" i="1"/>
  <c r="H15" i="1"/>
  <c r="D15" i="1"/>
  <c r="H14" i="1"/>
  <c r="B14" i="1"/>
  <c r="D14" i="1" s="1"/>
  <c r="H13" i="1"/>
  <c r="B13" i="1"/>
  <c r="D13" i="1" s="1"/>
  <c r="H12" i="1"/>
  <c r="D12" i="1"/>
  <c r="B12" i="1"/>
  <c r="H11" i="1"/>
  <c r="B11" i="1"/>
  <c r="D11" i="1" s="1"/>
  <c r="H10" i="1"/>
  <c r="B10" i="1"/>
  <c r="D10" i="1" s="1"/>
  <c r="H9" i="1"/>
  <c r="B9" i="1"/>
  <c r="D9" i="1" s="1"/>
  <c r="H8" i="1"/>
  <c r="H20" i="1" s="1"/>
  <c r="H25" i="1" s="1"/>
  <c r="F36" i="1" s="1"/>
  <c r="D8" i="1"/>
  <c r="B8" i="1"/>
  <c r="G36" i="1" l="1"/>
  <c r="F39" i="1"/>
  <c r="D20" i="1"/>
  <c r="D25" i="1" s="1"/>
  <c r="B36" i="1" s="1"/>
  <c r="B20" i="1"/>
  <c r="B25" i="1" s="1"/>
  <c r="C36" i="1" l="1"/>
  <c r="B39" i="1"/>
  <c r="F47" i="1"/>
  <c r="F50" i="1" s="1"/>
  <c r="G39" i="1"/>
  <c r="B47" i="1" l="1"/>
  <c r="B50" i="1" s="1"/>
  <c r="C39" i="1"/>
</calcChain>
</file>

<file path=xl/sharedStrings.xml><?xml version="1.0" encoding="utf-8"?>
<sst xmlns="http://schemas.openxmlformats.org/spreadsheetml/2006/main" count="53" uniqueCount="40">
  <si>
    <t>Council Tax Budget Information: Newark and Sherwood District Council 2026/27 Financial Summary</t>
  </si>
  <si>
    <t>Our spending on services is as follows:</t>
  </si>
  <si>
    <t>2025/26 total spending</t>
  </si>
  <si>
    <t>2025/26 total income</t>
  </si>
  <si>
    <t>2025/26 spending less income</t>
  </si>
  <si>
    <t>2026/27 total spending</t>
  </si>
  <si>
    <t>2026/27 total income</t>
  </si>
  <si>
    <t>2026/27 spending less income</t>
  </si>
  <si>
    <t>At March 2025
£'000s</t>
  </si>
  <si>
    <t>At March 2026
£'000s</t>
  </si>
  <si>
    <t>Climate &amp; the Environment</t>
  </si>
  <si>
    <t>Health, Wellbeing &amp; Leisure</t>
  </si>
  <si>
    <t>Heritage, Culture &amp; the Arts</t>
  </si>
  <si>
    <t>Housing</t>
  </si>
  <si>
    <t>Strategy, Performance &amp; Finance</t>
  </si>
  <si>
    <t>Sustainable Economic Development</t>
  </si>
  <si>
    <t>Public Protection &amp; Community Relations</t>
  </si>
  <si>
    <t>Vacancy Factor and Notional Savings</t>
  </si>
  <si>
    <t>Trent Valley Internal Drainage Board</t>
  </si>
  <si>
    <t>Upper Witham Internal Drainage Board</t>
  </si>
  <si>
    <t>Subtotal</t>
  </si>
  <si>
    <t>Reversal of capital charges</t>
  </si>
  <si>
    <t>Cash management</t>
  </si>
  <si>
    <t>Total</t>
  </si>
  <si>
    <t>This spend is paid for by Council Tax and other income, as follows:</t>
  </si>
  <si>
    <t>2025/26</t>
  </si>
  <si>
    <t>2026/27</t>
  </si>
  <si>
    <t>2023 mid-year estimate</t>
  </si>
  <si>
    <t>Population (Office for National Statistics (ONS))</t>
  </si>
  <si>
    <t>2024 mid-year estimate</t>
  </si>
  <si>
    <t>District Council</t>
  </si>
  <si>
    <t>Parish Councils</t>
  </si>
  <si>
    <t>Less: annual government grants</t>
  </si>
  <si>
    <t>Less: Non-Domestic Rates (NDR) (Business Rates)</t>
  </si>
  <si>
    <t>Less: Precepts collected from Parish Councils</t>
  </si>
  <si>
    <t>Less: Amount transferred (to)/from savings</t>
  </si>
  <si>
    <t>Council Tax (Surplus)/Deficit Adjustment</t>
  </si>
  <si>
    <t>Amount we need from Council Tax</t>
  </si>
  <si>
    <t>Representative number of band D properties (Council Tax Base)</t>
  </si>
  <si>
    <t>Newark &amp; Sherwood DC Band D Council Tax 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</si>
</sst>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[Red]\(#,##0\)"/>
    <numFmt numFmtId="165" formatCode="#,##0.00;[Red]\(#,##0.00\)"/>
  </numFmts>
  <fonts count="4" x14ac:knownFonts="1">
    <font>
      <sz val="11"/>
      <color theme="1"/>
      <name val="Calibri"/>
      <family val="2"/>
    </font>
    <font>
      <b/>
      <u/>
      <sz val="12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double">
        <color theme="0" tint="-0.14993743705557422"/>
      </top>
      <bottom style="double">
        <color theme="0" tint="-0.14993743705557422"/>
      </bottom>
      <diagonal/>
    </border>
    <border>
      <left/>
      <right/>
      <top style="thin">
        <color theme="0" tint="-0.1499679555650502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/>
      <right/>
      <top style="double">
        <color theme="0" tint="-0.14996795556505021"/>
      </top>
      <bottom style="double">
        <color theme="0" tint="-0.1499679555650502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164" fontId="2" fillId="0" borderId="2" xfId="0" applyNumberFormat="1" applyFont="1" applyBorder="1" applyAlignment="1">
      <alignment vertical="center"/>
    </xf>
    <xf numFmtId="164" fontId="3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164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49" fontId="3" fillId="2" borderId="2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165" fontId="2" fillId="0" borderId="2" xfId="0" applyNumberFormat="1" applyFont="1" applyBorder="1" applyAlignment="1">
      <alignment vertical="center"/>
    </xf>
    <xf numFmtId="165" fontId="3" fillId="0" borderId="3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 wrapText="1"/>
    </xf>
    <xf numFmtId="165" fontId="3" fillId="0" borderId="8" xfId="0" applyNumberFormat="1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3" fillId="0" borderId="9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4463D-1EC0-4867-8E81-20BE2BC4843A}">
  <dimension ref="A1:L52"/>
  <sheetViews>
    <sheetView tabSelected="1" workbookViewId="0">
      <selection activeCell="K5" sqref="K5"/>
    </sheetView>
  </sheetViews>
  <sheetFormatPr defaultColWidth="10.88671875" defaultRowHeight="15.6" x14ac:dyDescent="0.3"/>
  <cols>
    <col min="1" max="1" width="1.44140625" style="2" customWidth="1"/>
    <col min="2" max="4" width="14.21875" style="2" customWidth="1"/>
    <col min="5" max="5" width="46.33203125" style="2" customWidth="1"/>
    <col min="6" max="8" width="14.21875" style="2" customWidth="1"/>
    <col min="9" max="9" width="12.109375" style="2" bestFit="1" customWidth="1"/>
    <col min="10" max="10" width="10.88671875" style="2"/>
    <col min="11" max="11" width="13.33203125" style="2" bestFit="1" customWidth="1"/>
    <col min="12" max="12" width="12" style="2" bestFit="1" customWidth="1"/>
    <col min="13" max="13" width="14.44140625" style="2" bestFit="1" customWidth="1"/>
    <col min="14" max="14" width="11.44140625" style="2" bestFit="1" customWidth="1"/>
    <col min="15" max="16384" width="10.88671875" style="2"/>
  </cols>
  <sheetData>
    <row r="1" spans="1:8" x14ac:dyDescent="0.3">
      <c r="A1" s="1"/>
      <c r="B1" s="1" t="s">
        <v>0</v>
      </c>
    </row>
    <row r="3" spans="1:8" x14ac:dyDescent="0.3">
      <c r="B3" s="2" t="s">
        <v>1</v>
      </c>
    </row>
    <row r="5" spans="1:8" ht="46.8" x14ac:dyDescent="0.3">
      <c r="B5" s="3" t="s">
        <v>2</v>
      </c>
      <c r="C5" s="3" t="s">
        <v>3</v>
      </c>
      <c r="D5" s="3" t="s">
        <v>4</v>
      </c>
      <c r="E5" s="4"/>
      <c r="F5" s="3" t="s">
        <v>5</v>
      </c>
      <c r="G5" s="3" t="s">
        <v>6</v>
      </c>
      <c r="H5" s="3" t="s">
        <v>7</v>
      </c>
    </row>
    <row r="6" spans="1:8" ht="31.2" x14ac:dyDescent="0.3">
      <c r="B6" s="5" t="s">
        <v>8</v>
      </c>
      <c r="C6" s="5" t="s">
        <v>8</v>
      </c>
      <c r="D6" s="5" t="s">
        <v>8</v>
      </c>
      <c r="E6" s="5"/>
      <c r="F6" s="5" t="s">
        <v>9</v>
      </c>
      <c r="G6" s="5" t="s">
        <v>9</v>
      </c>
      <c r="H6" s="5" t="s">
        <v>9</v>
      </c>
    </row>
    <row r="8" spans="1:8" x14ac:dyDescent="0.3">
      <c r="B8" s="6">
        <f>4218+3442-1</f>
        <v>7659</v>
      </c>
      <c r="C8" s="6">
        <v>-3303</v>
      </c>
      <c r="D8" s="7">
        <f>SUM(B8:C8)</f>
        <v>4356</v>
      </c>
      <c r="E8" s="2" t="s">
        <v>10</v>
      </c>
      <c r="F8" s="6">
        <v>8187</v>
      </c>
      <c r="G8" s="6">
        <v>-3603</v>
      </c>
      <c r="H8" s="7">
        <f>SUM(F8:G8)</f>
        <v>4584</v>
      </c>
    </row>
    <row r="9" spans="1:8" x14ac:dyDescent="0.3">
      <c r="B9" s="6">
        <f>551+1188</f>
        <v>1739</v>
      </c>
      <c r="C9" s="6">
        <v>-5</v>
      </c>
      <c r="D9" s="7">
        <f t="shared" ref="D9:D18" si="0">SUM(B9:C9)</f>
        <v>1734</v>
      </c>
      <c r="E9" s="8" t="s">
        <v>11</v>
      </c>
      <c r="F9" s="6">
        <v>1069</v>
      </c>
      <c r="G9" s="6">
        <v>-5</v>
      </c>
      <c r="H9" s="7">
        <f t="shared" ref="H9:H18" si="1">SUM(F9:G9)</f>
        <v>1064</v>
      </c>
    </row>
    <row r="10" spans="1:8" x14ac:dyDescent="0.3">
      <c r="B10" s="6">
        <f>1230+1187</f>
        <v>2417</v>
      </c>
      <c r="C10" s="6">
        <v>-1331</v>
      </c>
      <c r="D10" s="7">
        <f t="shared" si="0"/>
        <v>1086</v>
      </c>
      <c r="E10" s="8" t="s">
        <v>12</v>
      </c>
      <c r="F10" s="6">
        <v>2436</v>
      </c>
      <c r="G10" s="6">
        <v>-1483</v>
      </c>
      <c r="H10" s="7">
        <f t="shared" si="1"/>
        <v>953</v>
      </c>
    </row>
    <row r="11" spans="1:8" x14ac:dyDescent="0.3">
      <c r="B11" s="6">
        <f>1139+1260</f>
        <v>2399</v>
      </c>
      <c r="C11" s="6">
        <v>-1884</v>
      </c>
      <c r="D11" s="7">
        <f t="shared" si="0"/>
        <v>515</v>
      </c>
      <c r="E11" s="8" t="s">
        <v>13</v>
      </c>
      <c r="F11" s="6">
        <v>3299</v>
      </c>
      <c r="G11" s="6">
        <v>-2899</v>
      </c>
      <c r="H11" s="7">
        <f t="shared" si="1"/>
        <v>400</v>
      </c>
    </row>
    <row r="12" spans="1:8" x14ac:dyDescent="0.3">
      <c r="B12" s="9">
        <f>9814+26100</f>
        <v>35914</v>
      </c>
      <c r="C12" s="6">
        <v>-25111</v>
      </c>
      <c r="D12" s="7">
        <f t="shared" si="0"/>
        <v>10803</v>
      </c>
      <c r="E12" s="8" t="s">
        <v>14</v>
      </c>
      <c r="F12" s="6">
        <v>37063</v>
      </c>
      <c r="G12" s="6">
        <v>-24964</v>
      </c>
      <c r="H12" s="7">
        <f t="shared" si="1"/>
        <v>12099</v>
      </c>
    </row>
    <row r="13" spans="1:8" x14ac:dyDescent="0.3">
      <c r="B13" s="9">
        <f>2669+790</f>
        <v>3459</v>
      </c>
      <c r="C13" s="6">
        <v>-1451</v>
      </c>
      <c r="D13" s="7">
        <f t="shared" si="0"/>
        <v>2008</v>
      </c>
      <c r="E13" s="8" t="s">
        <v>15</v>
      </c>
      <c r="F13" s="6">
        <v>3944</v>
      </c>
      <c r="G13" s="6">
        <v>-1744</v>
      </c>
      <c r="H13" s="7">
        <f t="shared" si="1"/>
        <v>2200</v>
      </c>
    </row>
    <row r="14" spans="1:8" x14ac:dyDescent="0.3">
      <c r="B14" s="9">
        <f>2955+1228</f>
        <v>4183</v>
      </c>
      <c r="C14" s="6">
        <v>-671</v>
      </c>
      <c r="D14" s="7">
        <f t="shared" si="0"/>
        <v>3512</v>
      </c>
      <c r="E14" s="8" t="s">
        <v>16</v>
      </c>
      <c r="F14" s="6">
        <v>5328</v>
      </c>
      <c r="G14" s="6">
        <v>-774</v>
      </c>
      <c r="H14" s="7">
        <f t="shared" si="1"/>
        <v>4554</v>
      </c>
    </row>
    <row r="15" spans="1:8" x14ac:dyDescent="0.3">
      <c r="B15" s="9">
        <v>0</v>
      </c>
      <c r="C15" s="6">
        <v>0</v>
      </c>
      <c r="D15" s="7">
        <f t="shared" si="0"/>
        <v>0</v>
      </c>
      <c r="E15" s="8" t="s">
        <v>17</v>
      </c>
      <c r="F15" s="6">
        <v>-2018</v>
      </c>
      <c r="G15" s="6">
        <v>0</v>
      </c>
      <c r="H15" s="7">
        <f t="shared" si="1"/>
        <v>-2018</v>
      </c>
    </row>
    <row r="16" spans="1:8" x14ac:dyDescent="0.3">
      <c r="B16" s="9"/>
      <c r="C16" s="6"/>
      <c r="D16" s="7"/>
      <c r="E16" s="8"/>
      <c r="F16" s="9"/>
      <c r="G16" s="6"/>
      <c r="H16" s="7"/>
    </row>
    <row r="17" spans="2:12" x14ac:dyDescent="0.3">
      <c r="B17" s="9">
        <v>936</v>
      </c>
      <c r="C17" s="6"/>
      <c r="D17" s="7">
        <f t="shared" si="0"/>
        <v>936</v>
      </c>
      <c r="E17" s="8" t="s">
        <v>18</v>
      </c>
      <c r="F17" s="6">
        <v>964</v>
      </c>
      <c r="G17" s="6"/>
      <c r="H17" s="7">
        <f t="shared" si="1"/>
        <v>964</v>
      </c>
      <c r="L17" s="6"/>
    </row>
    <row r="18" spans="2:12" x14ac:dyDescent="0.3">
      <c r="B18" s="6">
        <v>17</v>
      </c>
      <c r="C18" s="6"/>
      <c r="D18" s="7">
        <f t="shared" si="0"/>
        <v>17</v>
      </c>
      <c r="E18" s="8" t="s">
        <v>19</v>
      </c>
      <c r="F18" s="6">
        <v>17</v>
      </c>
      <c r="G18" s="6"/>
      <c r="H18" s="7">
        <f t="shared" si="1"/>
        <v>17</v>
      </c>
    </row>
    <row r="19" spans="2:12" ht="16.2" thickBot="1" x14ac:dyDescent="0.35"/>
    <row r="20" spans="2:12" ht="16.8" thickTop="1" thickBot="1" x14ac:dyDescent="0.35">
      <c r="B20" s="10">
        <f>SUM(B8:B18)</f>
        <v>58723</v>
      </c>
      <c r="C20" s="10">
        <f>SUM(C8:C18)</f>
        <v>-33756</v>
      </c>
      <c r="D20" s="10">
        <f>SUM(D8:D18)</f>
        <v>24967</v>
      </c>
      <c r="E20" s="11" t="s">
        <v>20</v>
      </c>
      <c r="F20" s="10">
        <f>SUM(F8:F18)</f>
        <v>60289</v>
      </c>
      <c r="G20" s="10">
        <f t="shared" ref="G20:H20" si="2">SUM(G8:G18)</f>
        <v>-35472</v>
      </c>
      <c r="H20" s="10">
        <f t="shared" si="2"/>
        <v>24817</v>
      </c>
    </row>
    <row r="21" spans="2:12" ht="16.2" thickTop="1" x14ac:dyDescent="0.3"/>
    <row r="22" spans="2:12" x14ac:dyDescent="0.3">
      <c r="B22" s="6">
        <f>-3291-860</f>
        <v>-4151</v>
      </c>
      <c r="C22" s="6">
        <v>860</v>
      </c>
      <c r="D22" s="7">
        <f t="shared" ref="D22" si="3">SUM(B22:C22)</f>
        <v>-3291</v>
      </c>
      <c r="E22" s="8" t="s">
        <v>21</v>
      </c>
      <c r="F22" s="6">
        <v>861</v>
      </c>
      <c r="G22" s="6">
        <v>-4068</v>
      </c>
      <c r="H22" s="7">
        <f t="shared" ref="H22:H23" si="4">SUM(F22:G22)</f>
        <v>-3207</v>
      </c>
    </row>
    <row r="23" spans="2:12" x14ac:dyDescent="0.3">
      <c r="B23" s="6">
        <f>75+371+100+719+4+461</f>
        <v>1730</v>
      </c>
      <c r="C23" s="6">
        <f>-2005-500</f>
        <v>-2505</v>
      </c>
      <c r="D23" s="7">
        <f>SUM(B23:C23)</f>
        <v>-775</v>
      </c>
      <c r="E23" s="8" t="s">
        <v>22</v>
      </c>
      <c r="F23" s="6">
        <v>1688</v>
      </c>
      <c r="G23" s="6">
        <v>-2598</v>
      </c>
      <c r="H23" s="7">
        <f t="shared" si="4"/>
        <v>-910</v>
      </c>
    </row>
    <row r="24" spans="2:12" ht="16.2" thickBot="1" x14ac:dyDescent="0.35"/>
    <row r="25" spans="2:12" ht="16.8" thickTop="1" thickBot="1" x14ac:dyDescent="0.35">
      <c r="B25" s="10">
        <f t="shared" ref="B25:G25" si="5">SUM(B20, B22:B23)</f>
        <v>56302</v>
      </c>
      <c r="C25" s="10">
        <f t="shared" si="5"/>
        <v>-35401</v>
      </c>
      <c r="D25" s="10">
        <f>SUM(D20, D22:D23)</f>
        <v>20901</v>
      </c>
      <c r="E25" s="11" t="s">
        <v>23</v>
      </c>
      <c r="F25" s="10">
        <f t="shared" si="5"/>
        <v>62838</v>
      </c>
      <c r="G25" s="10">
        <f t="shared" si="5"/>
        <v>-42138</v>
      </c>
      <c r="H25" s="10">
        <f>SUM(H20, H22:H23)</f>
        <v>20700</v>
      </c>
    </row>
    <row r="26" spans="2:12" ht="16.2" thickTop="1" x14ac:dyDescent="0.3">
      <c r="B26" s="12"/>
      <c r="C26" s="12"/>
      <c r="D26" s="12"/>
      <c r="E26" s="12"/>
      <c r="F26" s="12"/>
      <c r="G26" s="12"/>
      <c r="H26" s="12"/>
      <c r="I26" s="13"/>
    </row>
    <row r="28" spans="2:12" x14ac:dyDescent="0.3">
      <c r="B28" s="2" t="s">
        <v>24</v>
      </c>
    </row>
    <row r="30" spans="2:12" x14ac:dyDescent="0.3">
      <c r="B30" s="14" t="s">
        <v>25</v>
      </c>
      <c r="F30" s="14" t="s">
        <v>26</v>
      </c>
    </row>
    <row r="31" spans="2:12" x14ac:dyDescent="0.3">
      <c r="B31" s="6">
        <v>126000</v>
      </c>
      <c r="C31" s="8" t="s">
        <v>27</v>
      </c>
      <c r="E31" s="8" t="s">
        <v>28</v>
      </c>
      <c r="F31" s="6">
        <v>127880</v>
      </c>
      <c r="G31" s="8" t="s">
        <v>29</v>
      </c>
    </row>
    <row r="33" spans="2:12" x14ac:dyDescent="0.3">
      <c r="B33" s="15" t="s">
        <v>25</v>
      </c>
      <c r="C33" s="15" t="s">
        <v>25</v>
      </c>
      <c r="F33" s="14" t="s">
        <v>26</v>
      </c>
      <c r="G33" s="14" t="s">
        <v>26</v>
      </c>
    </row>
    <row r="34" spans="2:12" ht="31.2" x14ac:dyDescent="0.3">
      <c r="B34" s="5" t="s">
        <v>8</v>
      </c>
      <c r="C34" s="5" t="s">
        <v>8</v>
      </c>
      <c r="D34" s="16"/>
      <c r="E34" s="16"/>
      <c r="F34" s="5" t="s">
        <v>9</v>
      </c>
      <c r="G34" s="5" t="s">
        <v>9</v>
      </c>
    </row>
    <row r="36" spans="2:12" x14ac:dyDescent="0.3">
      <c r="B36" s="6">
        <f>D25</f>
        <v>20901</v>
      </c>
      <c r="C36" s="17">
        <f>(B36*1000)/B$31</f>
        <v>165.88095238095238</v>
      </c>
      <c r="E36" s="8" t="s">
        <v>30</v>
      </c>
      <c r="F36" s="6">
        <f>H25</f>
        <v>20700</v>
      </c>
      <c r="G36" s="17">
        <f>(F36*1000)/F$31</f>
        <v>161.87050359712231</v>
      </c>
    </row>
    <row r="37" spans="2:12" x14ac:dyDescent="0.3">
      <c r="B37" s="6">
        <v>4091</v>
      </c>
      <c r="C37" s="17">
        <f>(B37*1000)/B$31</f>
        <v>32.468253968253968</v>
      </c>
      <c r="E37" s="8" t="s">
        <v>31</v>
      </c>
      <c r="F37" s="6">
        <v>4330</v>
      </c>
      <c r="G37" s="17">
        <f>(F37*1000)/F$31</f>
        <v>33.85986862683766</v>
      </c>
    </row>
    <row r="38" spans="2:12" ht="16.2" thickBot="1" x14ac:dyDescent="0.35"/>
    <row r="39" spans="2:12" ht="16.8" thickTop="1" thickBot="1" x14ac:dyDescent="0.35">
      <c r="B39" s="10">
        <f>SUM(B36:B37)</f>
        <v>24992</v>
      </c>
      <c r="C39" s="18">
        <f>(B39*1000)/B$31</f>
        <v>198.34920634920636</v>
      </c>
      <c r="E39" s="11" t="s">
        <v>23</v>
      </c>
      <c r="F39" s="10">
        <f>SUM(F36:F37)</f>
        <v>25030</v>
      </c>
      <c r="G39" s="18">
        <f>(F39*1000)/F$31</f>
        <v>195.73037222395996</v>
      </c>
      <c r="J39" s="19"/>
    </row>
    <row r="40" spans="2:12" ht="16.2" thickTop="1" x14ac:dyDescent="0.3"/>
    <row r="41" spans="2:12" x14ac:dyDescent="0.3">
      <c r="B41" s="6">
        <f>287+321+142+205+119+987</f>
        <v>2061</v>
      </c>
      <c r="E41" s="8" t="s">
        <v>32</v>
      </c>
      <c r="F41" s="6">
        <v>7827</v>
      </c>
      <c r="L41" s="6"/>
    </row>
    <row r="42" spans="2:12" x14ac:dyDescent="0.3">
      <c r="B42" s="6">
        <f>10593+252</f>
        <v>10845</v>
      </c>
      <c r="E42" s="8" t="s">
        <v>33</v>
      </c>
      <c r="F42" s="6">
        <v>5018</v>
      </c>
      <c r="L42" s="6"/>
    </row>
    <row r="43" spans="2:12" x14ac:dyDescent="0.3">
      <c r="B43" s="6">
        <v>4091</v>
      </c>
      <c r="E43" s="8" t="s">
        <v>34</v>
      </c>
      <c r="F43" s="6">
        <v>4330</v>
      </c>
      <c r="L43" s="6"/>
    </row>
    <row r="44" spans="2:12" x14ac:dyDescent="0.3">
      <c r="B44" s="6">
        <v>-316</v>
      </c>
      <c r="E44" s="8" t="s">
        <v>35</v>
      </c>
      <c r="F44" s="6">
        <v>-739</v>
      </c>
      <c r="L44" s="9"/>
    </row>
    <row r="45" spans="2:12" x14ac:dyDescent="0.3">
      <c r="B45" s="9">
        <v>174</v>
      </c>
      <c r="E45" s="2" t="s">
        <v>36</v>
      </c>
      <c r="F45" s="9">
        <v>0</v>
      </c>
    </row>
    <row r="46" spans="2:12" ht="16.2" thickBot="1" x14ac:dyDescent="0.35"/>
    <row r="47" spans="2:12" ht="16.8" thickTop="1" thickBot="1" x14ac:dyDescent="0.35">
      <c r="B47" s="10">
        <f>B39-SUM(B41:B44)+B45-1</f>
        <v>8484</v>
      </c>
      <c r="C47" s="20"/>
      <c r="D47" s="19"/>
      <c r="E47" s="21" t="s">
        <v>37</v>
      </c>
      <c r="F47" s="10">
        <f>F39-SUM(F41:F44)+F45</f>
        <v>8594</v>
      </c>
      <c r="G47" s="20"/>
    </row>
    <row r="48" spans="2:12" ht="16.2" thickTop="1" x14ac:dyDescent="0.3">
      <c r="B48" s="22"/>
      <c r="E48" s="23"/>
      <c r="F48" s="22"/>
    </row>
    <row r="49" spans="2:9" ht="31.8" thickBot="1" x14ac:dyDescent="0.35">
      <c r="B49" s="22">
        <v>42720.659999999996</v>
      </c>
      <c r="E49" s="23" t="s">
        <v>38</v>
      </c>
      <c r="F49" s="22">
        <v>43272.450000000004</v>
      </c>
    </row>
    <row r="50" spans="2:9" ht="32.4" thickTop="1" thickBot="1" x14ac:dyDescent="0.35">
      <c r="B50" s="24">
        <f>B47*1000/B49+0.01</f>
        <v>198.60243747638731</v>
      </c>
      <c r="E50" s="25" t="s">
        <v>39</v>
      </c>
      <c r="F50" s="24">
        <f>F47*1000/F49</f>
        <v>198.60211289168973</v>
      </c>
      <c r="G50" s="24"/>
      <c r="H50" s="24"/>
      <c r="I50" s="24"/>
    </row>
    <row r="51" spans="2:9" ht="16.2" thickTop="1" x14ac:dyDescent="0.3">
      <c r="B51" s="22"/>
      <c r="E51" s="23"/>
      <c r="F51" s="22"/>
      <c r="I51" s="13"/>
    </row>
    <row r="52" spans="2:9" x14ac:dyDescent="0.3">
      <c r="B52" s="26"/>
      <c r="C52" s="27"/>
      <c r="D52" s="27"/>
      <c r="E52" s="28"/>
      <c r="F52" s="26"/>
      <c r="G52" s="27"/>
      <c r="H52" s="2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Bayliss</dc:creator>
  <cp:lastModifiedBy>Andrew Bayliss</cp:lastModifiedBy>
  <dcterms:created xsi:type="dcterms:W3CDTF">2026-04-27T08:57:58Z</dcterms:created>
  <dcterms:modified xsi:type="dcterms:W3CDTF">2026-04-27T08:59:02Z</dcterms:modified>
</cp:coreProperties>
</file>